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tabRatio="601" activeTab="0"/>
  </bookViews>
  <sheets>
    <sheet name=" Uch.   RM nr z 25.XI.2015." sheetId="1" r:id="rId1"/>
    <sheet name="Zał. nr 1" sheetId="2" r:id="rId2"/>
    <sheet name="Zał. nr 2" sheetId="3" r:id="rId3"/>
    <sheet name="Zał. nr 3" sheetId="4" r:id="rId4"/>
    <sheet name="Wolny" sheetId="5" r:id="rId5"/>
  </sheets>
  <definedNames>
    <definedName name="_xlnm.Print_Titles" localSheetId="1">'Zał. nr 1'!$10:$12</definedName>
    <definedName name="_xlnm.Print_Titles" localSheetId="2">'Zał. nr 2'!$13:$14</definedName>
    <definedName name="_xlnm.Print_Titles" localSheetId="3">'Zał. nr 3'!$12:$12</definedName>
  </definedNames>
  <calcPr fullCalcOnLoad="1"/>
</workbook>
</file>

<file path=xl/sharedStrings.xml><?xml version="1.0" encoding="utf-8"?>
<sst xmlns="http://schemas.openxmlformats.org/spreadsheetml/2006/main" count="824" uniqueCount="537">
  <si>
    <t>2015-2017</t>
  </si>
  <si>
    <t>Wniesienie wkładu pieniężnego na budowę sieci wodociągowej w Koninie w ulicy  Ignacego Domeyki os. Laskówiec</t>
  </si>
  <si>
    <t xml:space="preserve">                    Zmniejsza się</t>
  </si>
  <si>
    <t xml:space="preserve">                       Zwiększa się</t>
  </si>
  <si>
    <t>w tym:</t>
  </si>
  <si>
    <t xml:space="preserve"> </t>
  </si>
  <si>
    <t>§ 1</t>
  </si>
  <si>
    <t>Dz.</t>
  </si>
  <si>
    <t>§</t>
  </si>
  <si>
    <t>Ogółem</t>
  </si>
  <si>
    <t>zadania z zakresu administracji rządowej</t>
  </si>
  <si>
    <t>Razem</t>
  </si>
  <si>
    <t>W części dotyczącej wydatków  powiatu</t>
  </si>
  <si>
    <t>Rozdz.</t>
  </si>
  <si>
    <t>RAZEM</t>
  </si>
  <si>
    <t>Dział</t>
  </si>
  <si>
    <t>Rezerwa celowa na inwestycje i zakupy inwestycyjne</t>
  </si>
  <si>
    <t>Zwiększa się plan wydatków o kwotę</t>
  </si>
  <si>
    <t>W części dotyczącej wydatków  gminy</t>
  </si>
  <si>
    <t xml:space="preserve">                                     RADY  MIASTA  KONINA</t>
  </si>
  <si>
    <t xml:space="preserve">          Na podstawie art. 18 ust. 2 pkt 4 ustawy z dnia 8 marca 1990 r. o samorządzie gminnym</t>
  </si>
  <si>
    <t>1. W § 1 ust. 1</t>
  </si>
  <si>
    <t xml:space="preserve">         Kwotę dochodów ogółem      </t>
  </si>
  <si>
    <t xml:space="preserve">         zastępuje się kwotą</t>
  </si>
  <si>
    <t xml:space="preserve">           z tego:</t>
  </si>
  <si>
    <t>z tego:</t>
  </si>
  <si>
    <t xml:space="preserve">        a) dochody bieżące w wysokości                                        </t>
  </si>
  <si>
    <t>zastępuje się kwotą</t>
  </si>
  <si>
    <t xml:space="preserve">             Zmniejsza się</t>
  </si>
  <si>
    <t xml:space="preserve">          Zwiększa się</t>
  </si>
  <si>
    <t>Kwotę wydatków ogółem</t>
  </si>
  <si>
    <t xml:space="preserve">           1) kwotę  wydatków  gminy  ogółem                      </t>
  </si>
  <si>
    <t>z tego;</t>
  </si>
  <si>
    <t xml:space="preserve">          a) kwotę wydatków bieżących ogółem                      </t>
  </si>
  <si>
    <t xml:space="preserve">          b) kwotę wydatków majątkowych ogółem                      </t>
  </si>
  <si>
    <t xml:space="preserve">           2) kwotę  wydatków  powiatu ogółem                      </t>
  </si>
  <si>
    <t xml:space="preserve">                  Zwiększa się</t>
  </si>
  <si>
    <r>
      <t xml:space="preserve"> W Załączniku  nr 3 do uchwały budżetowej obejmującym   </t>
    </r>
    <r>
      <rPr>
        <i/>
        <sz val="12"/>
        <rFont val="Times New Roman"/>
        <family val="1"/>
      </rPr>
      <t xml:space="preserve">"Plan wydatków majątkowych realizowanych </t>
    </r>
  </si>
  <si>
    <t>W części dotyczącej zadań  gminy</t>
  </si>
  <si>
    <r>
      <t xml:space="preserve">Załącznik nr  3 do uchwały budżetowej otrzymuje brzmienie  w treści   </t>
    </r>
    <r>
      <rPr>
        <b/>
        <sz val="13"/>
        <rFont val="Times New Roman"/>
        <family val="1"/>
      </rPr>
      <t>Załącznika nr  1</t>
    </r>
  </si>
  <si>
    <t>do niniejszej uchwały.</t>
  </si>
  <si>
    <r>
      <t xml:space="preserve">brzmienie w treści </t>
    </r>
    <r>
      <rPr>
        <b/>
        <sz val="13"/>
        <rFont val="Times New Roman"/>
        <family val="1"/>
      </rPr>
      <t>Załącznika nr 2</t>
    </r>
    <r>
      <rPr>
        <sz val="13"/>
        <rFont val="Times New Roman"/>
        <family val="1"/>
      </rPr>
      <t xml:space="preserve">  do niniejszej uchwały</t>
    </r>
  </si>
  <si>
    <t xml:space="preserve">          zastępuje się kwotą</t>
  </si>
  <si>
    <t>a) kwotę części gminnej</t>
  </si>
  <si>
    <t xml:space="preserve">    zastępuje się kwotą</t>
  </si>
  <si>
    <t xml:space="preserve">                                                                               § 2</t>
  </si>
  <si>
    <t>Wykonanie uchwały powierza się Prezydentowi Miasta Konina.</t>
  </si>
  <si>
    <t xml:space="preserve">                                                                               § 3</t>
  </si>
  <si>
    <t>Uchwała wchodzi w życie z dniem podjęcia.</t>
  </si>
  <si>
    <t xml:space="preserve">     Przewodniczący </t>
  </si>
  <si>
    <t>Rady Miasta Konina</t>
  </si>
  <si>
    <t>Wiesław  Steinke</t>
  </si>
  <si>
    <t>2. W Załączniku Nr 1 do uchwały budżetowej dokonuje się następujących zmian:</t>
  </si>
  <si>
    <t>W części dotyczącej dochodów  gminy</t>
  </si>
  <si>
    <t xml:space="preserve">         1) dochody gminy ogółem                                                                                  </t>
  </si>
  <si>
    <t xml:space="preserve"> - kwotę wydatków na realizację zadań w ramach programów </t>
  </si>
  <si>
    <t>i projektów funduszy strukturalnych</t>
  </si>
  <si>
    <t>6. W Załączniku Nr 2 do uchwały budżetowej dokonuje się następujących zmian:</t>
  </si>
  <si>
    <t xml:space="preserve"> (Dz. U. z 2013  poz. 885 ze zm.)   R a d a    M i a s t a   K o n i n a   u c h w a l a,  co następuje "</t>
  </si>
  <si>
    <r>
      <t xml:space="preserve">w sprawie </t>
    </r>
    <r>
      <rPr>
        <b/>
        <i/>
        <sz val="14"/>
        <rFont val="Times New Roman"/>
        <family val="1"/>
      </rPr>
      <t>zmian w budżecie miasta Konina na 2015 rok</t>
    </r>
  </si>
  <si>
    <t xml:space="preserve">         W uchwale Nr 22 Rady Miasta Konina z dnia 21 stycznia 2015 r. r. w sprawie uchwalenia budżetu</t>
  </si>
  <si>
    <r>
      <t xml:space="preserve">mowa w art. 5 ust. 1 pkt 2 i 3 ustawy o finansach publicznych na 2015 rok" </t>
    </r>
    <r>
      <rPr>
        <sz val="13"/>
        <rFont val="Times New Roman"/>
        <family val="1"/>
      </rPr>
      <t xml:space="preserve">otrzymuje </t>
    </r>
  </si>
  <si>
    <t xml:space="preserve">miasta Konina na 2015 rok zmienionej  zarządzeniami w sprawie zmian w budżecie miasta Konina </t>
  </si>
  <si>
    <t xml:space="preserve">na 2015 rok:  Nr 11/2015 Prezydenta Miasta Konina z dnia 29 stycznia 2015 r.; Nr  17 /2015 Prezydenta Miasta  </t>
  </si>
  <si>
    <t>W części dotyczącej zadań  powiatu</t>
  </si>
  <si>
    <t>W części dotyczącej dochodów  powiatu</t>
  </si>
  <si>
    <t xml:space="preserve">         2) dochody powiatu ogółem                                                                                  </t>
  </si>
  <si>
    <t>3. W Załączniku Nr 1 do uchwały budżetowej dokonuje się następujących zmian:</t>
  </si>
  <si>
    <t>" Limit wydatków bieżących na programy finansowane z udziałem środków, o których</t>
  </si>
  <si>
    <t>Miasta Konina z dnia 26 lutego 2015 r.; Nr 30/2015 Prezydenta Miasta Konina z dnia 13 marca 2015 r.;</t>
  </si>
  <si>
    <t>Uzbrojenie terenów inwestycyjnych w obrębie Konin-Międzylesie</t>
  </si>
  <si>
    <t>Budowa odwodnienia terenu przyległego do boiska przy Gimnazjum nr 3 w Koninie</t>
  </si>
  <si>
    <t xml:space="preserve">Konina z dnia 12  lutego 2015 r.; Nr 40 Rady Miasta Konina z dnia 25 lutego 2015 r.; Nr 28/2015 Prezydenta </t>
  </si>
  <si>
    <t xml:space="preserve">zaliczanych do sektora finansów publicznych na cele publiczne związane z realizacją </t>
  </si>
  <si>
    <r>
      <t xml:space="preserve"> zadań miasta na 2015 rok"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 xml:space="preserve"> otrzymuje brzmienie w treści   </t>
    </r>
    <r>
      <rPr>
        <b/>
        <sz val="13"/>
        <rFont val="Times New Roman"/>
        <family val="1"/>
      </rPr>
      <t xml:space="preserve">Załącznika nr 3 </t>
    </r>
    <r>
      <rPr>
        <sz val="13"/>
        <rFont val="Times New Roman"/>
        <family val="1"/>
      </rPr>
      <t>do niniejszej uchwały</t>
    </r>
  </si>
  <si>
    <t>4210</t>
  </si>
  <si>
    <t>758</t>
  </si>
  <si>
    <t>801</t>
  </si>
  <si>
    <t>80101</t>
  </si>
  <si>
    <t>900</t>
  </si>
  <si>
    <t>4010</t>
  </si>
  <si>
    <t>4110</t>
  </si>
  <si>
    <t>4120</t>
  </si>
  <si>
    <t>ZAŁĄCZNIK nr 1</t>
  </si>
  <si>
    <t>Rady  Miasta Konina</t>
  </si>
  <si>
    <t xml:space="preserve">Plan wydatków majątkowych realizowanych ze środków </t>
  </si>
  <si>
    <t>budżetowych miasta Konina na 2015 rok</t>
  </si>
  <si>
    <t>w złotych</t>
  </si>
  <si>
    <t xml:space="preserve">           Plan na 2015 rok</t>
  </si>
  <si>
    <t>Lp</t>
  </si>
  <si>
    <t>Nazwa  zadania</t>
  </si>
  <si>
    <t>ogółem</t>
  </si>
  <si>
    <t>środki  w ramach ustawy Prawo ochrony środowiska</t>
  </si>
  <si>
    <t>RAZEM GMINA</t>
  </si>
  <si>
    <t>Transport i łączność</t>
  </si>
  <si>
    <t>Drogi publiczne gminne</t>
  </si>
  <si>
    <t>Budowa ulic: Dobrowolskiego, Kuratowskiego, Mazurkiewicza i Trzebiatowskiego w Koninie</t>
  </si>
  <si>
    <t>Budowa ul. Nasturcjowej w Koninie</t>
  </si>
  <si>
    <t xml:space="preserve">Opracowanie  dokumentacji projektowo-kosztorysowej na przebudowę ul. Beznazwy i Wilczej w Koninie </t>
  </si>
  <si>
    <t>Zakup promu rzecznego</t>
  </si>
  <si>
    <t>Gospodarka mieszkaniowa</t>
  </si>
  <si>
    <t>Gospodarka gruntami i nieruchomościami</t>
  </si>
  <si>
    <t>Nabycie nieruchomości gruntowych</t>
  </si>
  <si>
    <t>Pozostała działalność</t>
  </si>
  <si>
    <t>Wniesienie wkładu pieniężnego do Miejskiego Towarzystwa Budownictwa Społecznego Sp.z o.o. w Koninie na budowę budynku wielorodzinnego z lokalami handlowo-usługowymi w parterze oraz infrastrukturą techniczną przy ul. Wodnej 39 w Koninie</t>
  </si>
  <si>
    <t>Administracja publiczna</t>
  </si>
  <si>
    <t>Urzędy gmin (miast i miast na prawach powiatu)</t>
  </si>
  <si>
    <t>Rozbudowa miejskiej sieci szerokopasmowej KoMAN</t>
  </si>
  <si>
    <t>Modernizacja systemu klimatyzacyjnego w pomieszczeniach I piętra budynku UM przy Pl. Wolności 1</t>
  </si>
  <si>
    <t>Doposażenie techniczne urzędu</t>
  </si>
  <si>
    <t>Bezpieczeństwo publiczne i ochrona przeciwpożarowa</t>
  </si>
  <si>
    <t>Ochotnicze Straże Pożarne</t>
  </si>
  <si>
    <t xml:space="preserve">Zakupy inwestycyjne </t>
  </si>
  <si>
    <t>Dotacja celowa na zakup zestawu hydraulicznego dla OSP Konin-Chorzeń</t>
  </si>
  <si>
    <t>Obrona cywilna</t>
  </si>
  <si>
    <t>Różne rozliczenia</t>
  </si>
  <si>
    <t>Rezerwy ogólne i celowe</t>
  </si>
  <si>
    <t>Oświata i wychowanie</t>
  </si>
  <si>
    <t>Szkoły podstawowe</t>
  </si>
  <si>
    <t>Centrum nauki pływania i rehabilitacji wodnej (KBO)</t>
  </si>
  <si>
    <t>Wykonanie bieżni oraz piaskownicy do skoku w dal dla SP Nr 1</t>
  </si>
  <si>
    <t>Budowa monitoringu szkoły i placu zabaw dla SP Nr 10</t>
  </si>
  <si>
    <t>Modernizacja części socjalnej pionu sportowego w Szkole Podstawowej nr 3 w Koninie</t>
  </si>
  <si>
    <t>Zakup urządzenia "EkoRedux" - jednostki sterującej dla Szkoły Podstawowej z Oddziałami Integracyjnymi Nr 9</t>
  </si>
  <si>
    <t>Zakup kserokopiarki dla SP Nr 1</t>
  </si>
  <si>
    <t>Przedszkola</t>
  </si>
  <si>
    <t>Zakup huśtawki dla Przedszkola Nr 5</t>
  </si>
  <si>
    <t>Zakup obieraczki do warzyw dla Przedszkola Nr 6</t>
  </si>
  <si>
    <t>Zakup zmywarki dla Przedszkola Nr 17</t>
  </si>
  <si>
    <t>Zakup zmywarki przemysłowej dla Przedszkola Nr 31</t>
  </si>
  <si>
    <t>Zakup zmywarki z funkcją wyparzania dla Przedszkola Nr 32</t>
  </si>
  <si>
    <t>Zakup zmywarki z funkcją wyparzania dla Przedszkola Nr 8</t>
  </si>
  <si>
    <t>Gimnazja</t>
  </si>
  <si>
    <t>Budowa zespołu boisk przy Gimnazjum Nr 7 w Koninie</t>
  </si>
  <si>
    <t>Stołówki szkolne i przedszkolne</t>
  </si>
  <si>
    <t>Zakup piekarnika do kuchni dla SP Nr 1</t>
  </si>
  <si>
    <t>Zakup lodówko-zamrażarki dla SP Nr 8</t>
  </si>
  <si>
    <t>Zakup robota wielofukcyjnego typu "Wilk" dla SP Nr 8</t>
  </si>
  <si>
    <t>Pozostałe zadania w zakresie polityki społecznej</t>
  </si>
  <si>
    <t xml:space="preserve">Pozostała działalność </t>
  </si>
  <si>
    <t>Program Wspierania Przedsiębiorczości w Koninie na lata 2014-2016 (wniesienie wkładu)</t>
  </si>
  <si>
    <t>Gospodarka komunalna i ochrona środowiska</t>
  </si>
  <si>
    <t>Gospodarka odpadami</t>
  </si>
  <si>
    <t xml:space="preserve">Usuwanie wyrobów zawierających azbest z nieruchomości położonych na terenie miasta Konina </t>
  </si>
  <si>
    <t>Budowa ogrodzenia wokół schroniska dla bezdomnych zwierząt przy ul. Gajowej w Koninie</t>
  </si>
  <si>
    <t>Oświetlenie ulic, placów i dróg</t>
  </si>
  <si>
    <t>Opracowanie dokumentacji projektowo-kosztorysowej na budowę oświetlenia na ul. Jeziornej i Okólnej</t>
  </si>
  <si>
    <t>Sygnalizacja dźwiękowa dla osób niepełnosprawnych (KBO)</t>
  </si>
  <si>
    <t xml:space="preserve">Wniesienie wkładu pieniężnego do PWIK Sp. zo.o. na budowę kanalizacji sanitarnej i wodociągu w budynku  po Sądzie Rejonowym </t>
  </si>
  <si>
    <t>Wniesienie wkładu pieniężnego do spółki Geotermia Konin Spółka z o.o. w Koninie</t>
  </si>
  <si>
    <t>Wniesienie wkładu pieniężnego do spółki Geotermia Konin Spółka z o.o. w Koninie (zad.2)</t>
  </si>
  <si>
    <t xml:space="preserve">Wniesienie wkładu pieniężnego na opracowanie dokumentacji projektowej na budowę sieci wodociągowej i kanalizacji sanitarnej w Koninie w ulicy Warmińskiej, Wojciechowo i Krańcowej – os. Łężyn </t>
  </si>
  <si>
    <t xml:space="preserve">Wniesienie wkładu pieniężnego na opracowanie dokumentacji projektowej na budowę rurociągu tłocznego kanalizacji sanitarnej wraz z przebudową przepompowni ścieków w Koninie – os Janów </t>
  </si>
  <si>
    <t>Wniesienie wkładu pieniężnego na budowę kanalizacji sanitarnej i sieci wodociągowej w Koninie w ulicy Mazowieckiej - os. Łężyn</t>
  </si>
  <si>
    <t>Wniesienie wkładu pieniężnego na budowę sieci wodociągowej w Koninie w ulicach Marii Skłodowskiej-Curie, ul. Ignacego Domeyki, Ludwika Hirszwelda</t>
  </si>
  <si>
    <t>Wniesienie wkładu pieniężnego na budowę sieci wodociągowej w ciągu pieszo jezdnym w Koninie - rejon ulicy Grójeckiej - os. Grójec</t>
  </si>
  <si>
    <t>Wniesienie wkładu pieniężnego na budowę sieci wodociągowej w Koninie w ulicy Rumiankowej</t>
  </si>
  <si>
    <t>Wniesienie wkładu pieniężnego na budowę kanalizacji sanitarnej w Koninie w ulicy Ślesińskiej - os. Łężyn</t>
  </si>
  <si>
    <t>Przebudowa rowów melioracyjnych w obrębie Konin-Międzylesie</t>
  </si>
  <si>
    <t>Opracowanie dokumentacji projektowo-kosztorysowej na budowę ulic Staromorzysławskiej, Działkowej i Granicznej w Koninie wraz z kanalizacją deszczową</t>
  </si>
  <si>
    <t>Opracowanie dokumentacji projektowo-kosztorysowej na odwodnienie terenu przyległego do boisk przy Gimnazjum nr 3 w Koninie</t>
  </si>
  <si>
    <t>Budowa kanalizacji deszczowej w rejonie osiedla Pątnów w Koninie</t>
  </si>
  <si>
    <t>Modernizacja istniejących placów zabaw wraz z wykonaniem ogrodzeń</t>
  </si>
  <si>
    <t>Budowa placu zabaw na terenie zieleni miejskiej przy ul. Kolejowej 8 i Energetyka 2A w Koninie</t>
  </si>
  <si>
    <t>Zwalczanie komarów - wieże lęgowe dla jerzyków (KBO)</t>
  </si>
  <si>
    <t>Ustawienie betonowych stołów do ping-ponga na Chorzniu oraz na II i III osiedlu (KBO)</t>
  </si>
  <si>
    <t>Kolorowa ściana – „Dobra” Instalacja (KBO)</t>
  </si>
  <si>
    <t>Opracowanie dokumentacji projektowo-kosztorysowej na budowę kanalizacji deszczowej przy ul. Spółdzielców w Koninie</t>
  </si>
  <si>
    <t>Konin jest FIT, czyli budowa 9 placów siłowni plenerowych z urządzeniami do ćwiczeń na dworze dla młodzieży, dorosłych i seniorów: na Chorzniu, Zatorzu,  V Osiedlu, Oś.Sikorskiego, w Centrum, Wilkowie, Niesłuszu, Gosławicach i Cukrowni (KBO)</t>
  </si>
  <si>
    <t>Budowa przyłączy kanalizacyjnych i przyłączenie nieruchomości do miejskiej sieci kanalizacyjnej</t>
  </si>
  <si>
    <t>Kultura i ochrona dziedzictwa narodowego</t>
  </si>
  <si>
    <t>Domy i ośrodki kultury, świetlice i kluby</t>
  </si>
  <si>
    <t>Adaptacja pomieszczeń budynku Klubu Energetyk na potrzeby Młodzieżowego Domu Kultury w Koninie</t>
  </si>
  <si>
    <t>Wykonanie i montaż szafy do Bookcrossingu (KBO)</t>
  </si>
  <si>
    <t xml:space="preserve">Kultura fizyczna </t>
  </si>
  <si>
    <t>Obiekty sportowe</t>
  </si>
  <si>
    <t>RAZEM POWIAT</t>
  </si>
  <si>
    <t>Drogi publiczne wojewódzkie</t>
  </si>
  <si>
    <t>Dotacja celowa do Samorządu Województwa Wielkopolskiego na wypłatę odszkodowań za grunty przejęte  pod realizacje zadania  pn. "Budowa drogi - łącznik od ul. Przemysłowej do ul. Kleczewskiej w Koninie"</t>
  </si>
  <si>
    <t>Drogi publiczne w miastach na prawach powiatu</t>
  </si>
  <si>
    <t>Budowa drogi - łącznik od ul. Przemysłowej do ul. Kleczewskiej w Koninie</t>
  </si>
  <si>
    <t>Przebudowa ul. Kościuszki wraz z oświetleniem i odwodnieniem - etap I</t>
  </si>
  <si>
    <t>Wykonanie bezpiecznego przejścia dla pieszych przez ul. Europejską w okolicach ul. Wierzbowej</t>
  </si>
  <si>
    <t>Opracowanie dokumentacji projektowo-kosztorysowej na przebudowę ul. Jana Pawła II w Koninie</t>
  </si>
  <si>
    <t>Dokumentacja projektowo - kosztorysowa na budowę ul. Przemysłowej od skrzyżowania z ul. Jana Matejki do skrzyżowania z planowaną drogą DK 25 w Malińcu wraz ze ścieżką rowerową (KBO)</t>
  </si>
  <si>
    <t>Turystyka</t>
  </si>
  <si>
    <t>Budowa budynku usług publicznych przy ul. Z. Urbanowskiej w Koninie</t>
  </si>
  <si>
    <t>Działalność usługowa</t>
  </si>
  <si>
    <t>Ośrodki dokumentacji geodezyjnej i kartograficznej</t>
  </si>
  <si>
    <t xml:space="preserve">Zakup sprzętu komputerowego </t>
  </si>
  <si>
    <t>Komendy powiatowe Policji</t>
  </si>
  <si>
    <t>Dofinansowanie zakupu radiowozów oznakowanych i nieoznakowanego dla KMP w Koninie</t>
  </si>
  <si>
    <t>Komendy powiatowe Państwowej Straży Pożarnej</t>
  </si>
  <si>
    <t>Przebudowa pomieszczeń garażowych budynku strażnicy wraz z modernizacją kanalizacji deszczowej oraz wymianą nawierzchni placu manewrowego JRG Nr 1 i Komendy Miejskiej Państwowej Straży Pożarnej w Koninie</t>
  </si>
  <si>
    <t>Licea ogólnokształcące</t>
  </si>
  <si>
    <t>Zakup serwera dla II LO w Koninie</t>
  </si>
  <si>
    <t>Zakup kserokopiarki dla II LO w Koninie</t>
  </si>
  <si>
    <t>Zakup urządzenia wielofunkcyjnego do frezowania tafli lodowiska dla ZS im.  M.Kopernika w Koninie</t>
  </si>
  <si>
    <t>Szkoły zawodowe</t>
  </si>
  <si>
    <t>Zakup serwera dla ZSB w Koninie</t>
  </si>
  <si>
    <t>Zakup serwera dla ZSTiH w Koninie</t>
  </si>
  <si>
    <t>Zakup zmywarki dla II LO w Koninie</t>
  </si>
  <si>
    <t>Pomoc społeczna</t>
  </si>
  <si>
    <t>Domy pomocy społecznej</t>
  </si>
  <si>
    <t>Zakup łóżka kąpielowego oraz szorowarki dla DPS w Koninie</t>
  </si>
  <si>
    <t>Edukacyjna opieka wychowawcza</t>
  </si>
  <si>
    <t>Specjalne ośrodki szkolno-wychowawcze</t>
  </si>
  <si>
    <t>Zakup serwera dla SOS-W w Koninie</t>
  </si>
  <si>
    <t xml:space="preserve">do Uchwały nr  </t>
  </si>
  <si>
    <t>Poradnie przychologiczno-pedagogiczne w tym poradnie specjalistyczne</t>
  </si>
  <si>
    <t>Schroniska dla zwierząt</t>
  </si>
  <si>
    <t>Wniesienie wkładu pieniężnego do PWiK na budowę kanalizacji sanitarnej i wodociągu w rejonie ul. Gajowej w Koninie - I etap</t>
  </si>
  <si>
    <t xml:space="preserve">Wniesienie wkładu pieniężnego do PWiK na budowę sieci kanalizacji sanitarnej i wodociągu w  ulicy Rudzickiej w Koninie </t>
  </si>
  <si>
    <t>Instytucje kultury fizycznej</t>
  </si>
  <si>
    <t xml:space="preserve">Zakupy inwestycyjne dla MOS i R w Koninie </t>
  </si>
  <si>
    <t>Samoobsługowe stacje naprawy rowerów (KBO)</t>
  </si>
  <si>
    <t>Zakup urządzenia EEGBiofeedback wersja Nexus 4</t>
  </si>
  <si>
    <t>ZAŁĄCZNIK nr 2</t>
  </si>
  <si>
    <t xml:space="preserve">PLAN  DOTACJI DLA PODMIOTÓW NIE ZALICZANYCH DO SEKTORA </t>
  </si>
  <si>
    <t xml:space="preserve">FINANSÓW PUBLICZNYCH NA CELE PUBLICZNE ZWIĄZANE Z REALIZACJĄ </t>
  </si>
  <si>
    <t>ZADAŃ MIASTA  NA 2015 ROK</t>
  </si>
  <si>
    <t>Wyszczególnienie</t>
  </si>
  <si>
    <t xml:space="preserve">Określenie zadań </t>
  </si>
  <si>
    <t>Plan na 2015 rok</t>
  </si>
  <si>
    <t>Razem zadania gminy</t>
  </si>
  <si>
    <t xml:space="preserve">Dotacje podmiotowe </t>
  </si>
  <si>
    <t>dotacja dla niepublicznej szkoły podstawowej rozdz.80101</t>
  </si>
  <si>
    <t>dotacja dla niepublicznego przedszkola i punktów przedszkolnych rozdz. 80104</t>
  </si>
  <si>
    <t>dotacja dla niepublicznego gimnazjum  rozdz.80110</t>
  </si>
  <si>
    <t>dotacja dla niepublicznego przedszkola  rozdz. 80149</t>
  </si>
  <si>
    <t>Dotacje celowe</t>
  </si>
  <si>
    <t>Ochrona zdrowia</t>
  </si>
  <si>
    <t>prowadzenie Punktu Konsultacyjnego dla osób i rodzin dotkniętych problemem narkotykowym</t>
  </si>
  <si>
    <t>prowadzenie świetlic środowiskowych z dożywianiem</t>
  </si>
  <si>
    <t xml:space="preserve">realizacja programu zapobiegania i przeciwdziałania przemocy w rodzinie "Bezpieczeństwo w rodzinie" i "Dzieciństwo bez przemocy" </t>
  </si>
  <si>
    <t>realizacja programu "Szkolna Interwencja Profilaktyczna"</t>
  </si>
  <si>
    <t>organizacja półkolonii letnich i zimowych z programem profilaktycznym, z dożywianiem i zajęciami sportowymi dla dzieci z rodzin dysfunkcyjnych</t>
  </si>
  <si>
    <t>organizacja kolonii socjoterapeutycznych dla dzieci i młodzieży z rodzin dysfunkcyjnych</t>
  </si>
  <si>
    <t>prowadzenie środowiskowych ognisk wychowawczych</t>
  </si>
  <si>
    <t>prowadzenie świetlic socjoterapeutycznych</t>
  </si>
  <si>
    <t>realizacja programu pomocy żywnościowej dla rodzin dysfunkcyjnych</t>
  </si>
  <si>
    <t>olimpiada wiedzy nt. uzależnień</t>
  </si>
  <si>
    <t>świadczenie usług opiekuńczych w domu podopiecznego na terenie miasta Konina</t>
  </si>
  <si>
    <t>prowadzenie noclegowni i schroniska dla bezdomnych</t>
  </si>
  <si>
    <t>prowadzenie Ośrodka Rehabilitacyjno-Edukacyjno-Wychowawczego i Punktu Rehabilitacyjnego w Koninie</t>
  </si>
  <si>
    <t>realizacja zadania pn. "Klub wsparcia rodziny z dzieckiem z niepełnosprawnością"</t>
  </si>
  <si>
    <t>dotacja celowa dla niepublicznego żłobka</t>
  </si>
  <si>
    <t>dotacja celowa dla 2 klubów dziecięcych</t>
  </si>
  <si>
    <t>dotacja celowa dla niepublicznego klubu dziecięcego</t>
  </si>
  <si>
    <t>Wspieranie realizacji zadań organizacji pozarządowych</t>
  </si>
  <si>
    <t>realizacja zadania pn.: "Ja też mam super wakacje"</t>
  </si>
  <si>
    <t>działalność wspomagająca rozwój wspólnot i społeczności lokalnych</t>
  </si>
  <si>
    <t xml:space="preserve">„PI  Wsparcie rozwoju narzędzi związanych z kontraktowaniem usług społecznych w Koninie” w ramach programu POKL (dotacja celowa)  </t>
  </si>
  <si>
    <t>Gospodarka komunalna                         i ochrona środowiska</t>
  </si>
  <si>
    <t>prowadzenie schroniska dla zwierząt, realizacja Programu opieki nad zwierzętami bezdomnymi oraz zapobieganie bezdomności zwierząt na terenie miasta Konina</t>
  </si>
  <si>
    <t xml:space="preserve">usuwanie wyrobów zawierających azbest z nieruchomości położonych na terenie miasta Konina </t>
  </si>
  <si>
    <t>budowa przyłączy kanalizacyjnych i przyłączenie nieruchomości do miejskiej sieci kanalizacyjnej</t>
  </si>
  <si>
    <t>prace konserwatorsko-restauratorskie polichromii E.Niewiadomskiego - Parafia pw Św. Bartłomieja</t>
  </si>
  <si>
    <t>prace konserwatorsko-restauratorskie krucyfiksu w kruchcie - Parafia pw Św. Andrzeja Apostoła w Koninie</t>
  </si>
  <si>
    <t>organizacja imprez kulturalnych dla mieszkańców m. Konina</t>
  </si>
  <si>
    <t>organizacja koncertów z cyklu Muzyka w Ratuszu - Prezydent Zaprasza</t>
  </si>
  <si>
    <t xml:space="preserve">Kultura fizyczna  </t>
  </si>
  <si>
    <t>szkolenie uzdolnionych sportowo w wybranych dyscyplinach sportowych</t>
  </si>
  <si>
    <t>organizacja imprez sportowo-rekreacyjnych dla mieszkańców Konina</t>
  </si>
  <si>
    <t>organizacja imprez sportowych dla osób niepełnosprawnych</t>
  </si>
  <si>
    <t xml:space="preserve">Razem zadania powiatu </t>
  </si>
  <si>
    <t>dotacja dla niepublicznego liceum ogólnokształcącego rozdz. 80120</t>
  </si>
  <si>
    <t>dotacja dla publicznego liceum ogólnokształcącego rozdz. 80120</t>
  </si>
  <si>
    <t>dotacja dla niepublicznej szkoły zawodowej rozdz. 80130</t>
  </si>
  <si>
    <t>dotacja dla publicznego liceum ogólnokształcącego rozdz. 80150</t>
  </si>
  <si>
    <t>prowadzenie warsztatów terapii zajęciowej, rehabilitacja zawodowa i społeczna</t>
  </si>
  <si>
    <t xml:space="preserve">dotacja dla niepublicznego specjalnego ośrodka szkolno-wychowawczego rozdz. 85403 </t>
  </si>
  <si>
    <t>promocja turystyczna miasta Konina oraz udzielanie o nim informacji turystycznej</t>
  </si>
  <si>
    <t>organizacja imprez turystycznych dla mieszkańców Konina</t>
  </si>
  <si>
    <t>prowadzenie placówki opiekuńczo - wychowawczej typu rodzinnego -  Rodzinny Dom Dziecka</t>
  </si>
  <si>
    <t>działalność na rzecz rozwoju gospodarczego wspierającego lokalny rynek pracy</t>
  </si>
  <si>
    <t>OGÓŁEM</t>
  </si>
  <si>
    <t xml:space="preserve">na realizację  programów korekcyjno-edukacyjnych dla sprawców przemocy  w rodzinie 
</t>
  </si>
  <si>
    <t>Zakup obieraczki do ziemniaków dla Przedszkola nr 16</t>
  </si>
  <si>
    <t>Projekt</t>
  </si>
  <si>
    <t>Opracowanie dokumnetacji projektowo-kosztorysowej na budowę ul. Grójeckiej w Koninie</t>
  </si>
  <si>
    <t>Zakup maty do gry w badmintona</t>
  </si>
  <si>
    <t>Wykonanie oświetlenia awaryjno-ewakuacyjnego w budynku Przedszkola nr 8 w Koninie</t>
  </si>
  <si>
    <t xml:space="preserve">Budowa toalety przy ul. Szpitalnej 60 w Koninie
</t>
  </si>
  <si>
    <t>Wyposażenie klatki schodowej w urzadzenia  służące do usuwania dymu w budynku Przedszkola nr 2</t>
  </si>
  <si>
    <t xml:space="preserve">Miasta Konina z dnia 23 kwietnia 2015 r.; Nr 98 Rady Miasta Konina z dnia 29 kwietnia 2015 r.; Nr 60/2015 </t>
  </si>
  <si>
    <t xml:space="preserve">Prezydenta Miasta Konina z dnia 7 maja 2015 r.; Nr  68/2015 Prezydenta Miasta Konina z dnia </t>
  </si>
  <si>
    <t xml:space="preserve">21 maja 2015 r.; Nr 110 Rady Miasta Konina z dnia 27 maja 2015 r.; Nr  72/2015 Prezydenta Miasta Konina </t>
  </si>
  <si>
    <r>
      <t xml:space="preserve">ze środków budżetowych miasta Konina na 2015 rok " </t>
    </r>
    <r>
      <rPr>
        <sz val="12"/>
        <rFont val="Times New Roman"/>
        <family val="1"/>
      </rPr>
      <t xml:space="preserve"> dokonuje się następujących zmian:</t>
    </r>
  </si>
  <si>
    <t>80148</t>
  </si>
  <si>
    <t>75818</t>
  </si>
  <si>
    <t>4810</t>
  </si>
  <si>
    <t>Aktualizacja dokumentacji projektowo kosztorysowej  na przebudowę ulicy Rumiankowej w Koninie</t>
  </si>
  <si>
    <t>Przebudowa ulicy Rumiankowej w Koninie</t>
  </si>
  <si>
    <t xml:space="preserve">Wykonanie awaryjnego oświetlenia ewakuacyjnego w Przedszkolu nr 6   w Koninie
</t>
  </si>
  <si>
    <t>Zagospodarowanie terenu do gier sportowych przy ul. Szerokiej w Pątnowie</t>
  </si>
  <si>
    <t>Przebudowa ulicy Romana Dmowskiego w Koninie</t>
  </si>
  <si>
    <t xml:space="preserve">Wykonanie Audytu Bezpieczeństwa Ruchu Drogowego i opracowanie studium wykonalności inwestycji pn. rozbudowa skrzyżowania ulicy Warszawskiej z ulicą Kolską w Koninie </t>
  </si>
  <si>
    <t>Program Wspierania Przedsiębiorczości w Koninie na lata 2014-2016 - Koncepcja utworzenia Parku Przemysłowo Technologicznego</t>
  </si>
  <si>
    <t>Budowa kanalizacji deszczowej przy ul. Spółdzielców w Koninie</t>
  </si>
  <si>
    <t>Zakup platformy niezbędnej do przewozu specjalistycznego sprzętu dla Komendy Miejskiej Państwowej Straży Pożarnej w Koninie</t>
  </si>
  <si>
    <t xml:space="preserve">z dnia 28 maja 2015 r.;  Nr 78/2015 Prezydenta Miasta Konina z dnia 11 czerwca 2015 r.; Nr 134 Rady Miasta  </t>
  </si>
  <si>
    <t>Konina z dnia 24 czerwca 2015 r.; Nr 86/2015 Prezydenta Miasta Konina z dnia 25 czerwca 2015 r.;</t>
  </si>
  <si>
    <t xml:space="preserve">Nr 92/2015 Prezydenta Miasta Konina z dnia 10 lipca 2015 r.;  Nr 150 Rady Miasta Konina z dnia 20 lipca </t>
  </si>
  <si>
    <r>
      <t>2015 r.; Nr 99/2015 Prezydenta Miasta Konina z dnia 24 lipca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Nr 104/2015 Prezydenta Miasta</t>
    </r>
  </si>
  <si>
    <t>wyposażenie szkół w podręczniki, materiały edukacyjne lub materiały ćwiczeniowe rozdz. 80101</t>
  </si>
  <si>
    <t>wyposażenie szkół w podręczniki, materiały edukacyjne lub materiały ćwiczeniowe rozdz. 80110</t>
  </si>
  <si>
    <t xml:space="preserve">prowadzenie Środowiskowego Domu Samopomocy  dla Osób z Upośledzeniem Umysłowym </t>
  </si>
  <si>
    <t>PWP - Działalność na rzecz rozwoju gospodarczego wspierająca lokalny rynek pracy</t>
  </si>
  <si>
    <t>Pozoatała działalność</t>
  </si>
  <si>
    <t xml:space="preserve"> Limit wydatków bieżących na  programy  finansowane z udziałem środków  </t>
  </si>
  <si>
    <t xml:space="preserve"> o których mowa w art. 5 ust. 1 pkt 2 i 3 ustawy o finansach publicznych</t>
  </si>
  <si>
    <t xml:space="preserve"> na 2015 rok</t>
  </si>
  <si>
    <t xml:space="preserve">                  2015 rok</t>
  </si>
  <si>
    <t>Lp.</t>
  </si>
  <si>
    <t>Nazwa programu, cel i zadanie</t>
  </si>
  <si>
    <t>Jednostka organizacyjna</t>
  </si>
  <si>
    <t>Okres realizacji</t>
  </si>
  <si>
    <t>Środki budżetu państwa; środki własne gminy</t>
  </si>
  <si>
    <t>Środki z EFS ; WRPO, inne</t>
  </si>
  <si>
    <t>Zadania gminy</t>
  </si>
  <si>
    <t>Europejski Fundusz Społeczny - Program  Operacyjny Kapitał Ludzki</t>
  </si>
  <si>
    <t>Urząd Miejski w Koninie</t>
  </si>
  <si>
    <t>cel. Poprawa warunków prawnych i administracyjnych do prowadzenia efektywnej polityki rozwoju gospodarczego przez Miasto Konin</t>
  </si>
  <si>
    <t xml:space="preserve">Projekt pt. „PI  Wsparcie rozwoju narzędzi związanych z kontraktowaniem usług społecznych w Koninie”  </t>
  </si>
  <si>
    <t>2012-2015</t>
  </si>
  <si>
    <t xml:space="preserve">Przedszkole nr 10 z oddziałami integracyjnymi "Leszczynowa Górka" </t>
  </si>
  <si>
    <t>cel: Upowszechnianie edukacji przedszkolnej wśród 35 dzieci w wieku 3 - 5 lat z terenu m. Konina, powiatu konińskiego, tureckiego, kolskiego i słupeckiego</t>
  </si>
  <si>
    <t xml:space="preserve"> projekt Pt. "Słoneczny Świat Przedszkolaka"</t>
  </si>
  <si>
    <t>2013-2015</t>
  </si>
  <si>
    <t>wkład własny niepieniężny</t>
  </si>
  <si>
    <t>Przedszkole nr 14</t>
  </si>
  <si>
    <t>cel: upowszechniania edukacji przedszkolnej na terenie miasta Konina i gminy Ślesin i Kramsk poprzez utworzenie nowego oddziału przedszkolnego dla dzieci z miasta Konina i gmin: Ślesin i Kramsk oraz  włączenie ich rodziców w proces edukacji w okresie od 01.01.2013r. do 30.06.2015r.</t>
  </si>
  <si>
    <t xml:space="preserve"> projekt pt. "Wszystko zaczyna się od przedszkola"</t>
  </si>
  <si>
    <t>2013/2015</t>
  </si>
  <si>
    <t>„Uczenie się przez całe życie” Comenius współfinansowany z Polskiej Narodowej Agencji</t>
  </si>
  <si>
    <t>Gimnazjum nr 1 w Koninie</t>
  </si>
  <si>
    <t>cel: Wymiana doświadczeń i uczenie się od siebie nawzajem w dziedzinie języków obcych</t>
  </si>
  <si>
    <t>Projekt pt. "Objazd Europy z Jules Varnes i naszymi przyjaciółmi partnerami"</t>
  </si>
  <si>
    <t>cel: podniesienie poziomu aktywności zawodowej 45 osób bezrobotnych w wieku 50 -64 lata w tym 10 bezrobotnych długotrwale z miasta Konina</t>
  </si>
  <si>
    <t xml:space="preserve">Projekt pt. "Aktywni po pięćdziesiątce - czas na zmiany!" </t>
  </si>
  <si>
    <t>2014/2015</t>
  </si>
  <si>
    <t>Program Operacyjny Infrastruktura i Środowisko</t>
  </si>
  <si>
    <t>cel: wdrożenie i prowadzenie monitoringu realizacji działań związanych z ograniczeniem emisji CO, w mieście</t>
  </si>
  <si>
    <t xml:space="preserve">Projekt pt. -„Opracowanie Planu gospodarki niskoemisyjnej dla Miasta Konina na lata 2014 - 2020”  </t>
  </si>
  <si>
    <t xml:space="preserve">7. </t>
  </si>
  <si>
    <t>Europejski Fundusz Społeczny - Program  Operacyjny Wiedza Edukacja Rozwój</t>
  </si>
  <si>
    <t>Gimnazjum nr 2 im. Polskich Alpinistów w Koninie</t>
  </si>
  <si>
    <t xml:space="preserve">cel: Wzmocnienie kompetencji zawodowych nauczycieli poprzez udział w szkoleniach za granicą. </t>
  </si>
  <si>
    <t xml:space="preserve"> projekt Pt. "Wspólnie obudźmy lepsze jutro"</t>
  </si>
  <si>
    <t>2015-2016</t>
  </si>
  <si>
    <t>Zadania powiatu</t>
  </si>
  <si>
    <t xml:space="preserve">1. </t>
  </si>
  <si>
    <t xml:space="preserve"> I Liceum  Ogólnokształcące  im. Tadeusza Kościuszki w Koninie</t>
  </si>
  <si>
    <t>cel: nabycie kompetencji kluczowych i zawodowych przez przedstawicieli kadry pracującej w placówkach oświaty dzięki udziałowi w zagranicznych mobilnościach</t>
  </si>
  <si>
    <t xml:space="preserve"> projekt Pt. "Uczący się nauczyciele - wykształcony uczeń"</t>
  </si>
  <si>
    <t xml:space="preserve">2. </t>
  </si>
  <si>
    <t>Program Edukacyjny Erasmus+ Akcja 1 Mobilność  edukacyjna</t>
  </si>
  <si>
    <t>Zespół Szkół Budowlanych  im. Eugeniusz Kwiatkowskiego w Koninie</t>
  </si>
  <si>
    <t>cel: kształcenie uczniów w zawodach z branży budowlanej, geodezyjnej, logistycznej, gastronomicznej, hotelarskiej i mechanicznej</t>
  </si>
  <si>
    <t xml:space="preserve"> projekt Pt. "Staż dla zawodowców - zagraniczna praktyka zawodowa dla uczniów ZSB"</t>
  </si>
  <si>
    <t xml:space="preserve">3. </t>
  </si>
  <si>
    <t>Zespół Szkół Górniczo-Energetycznych im. Stanisława Staszica w Koninie</t>
  </si>
  <si>
    <t>cel: udział nauczycieli języków obcych w kursach i szkoleniach zagranicznych</t>
  </si>
  <si>
    <t xml:space="preserve"> projekt Pt. "Otwieramy się na Europę"</t>
  </si>
  <si>
    <t>Zakup ringu bokserskiego</t>
  </si>
  <si>
    <t xml:space="preserve"> - kwotę środków i dotacji na realizację zadań w ramach</t>
  </si>
  <si>
    <t>programów i projektów funduszy strukturalnych</t>
  </si>
  <si>
    <t>Rewitalizacja i zagospodarowanie Domu Zemełki oraz przeznaczenie go na potrzeby Centrum Organizacji Pozarządowych - inwentaryzacja wielobranżowa obiektu</t>
  </si>
  <si>
    <t>Program Edukacyjny Erasmus+ Akcja KA 2 Mobilność  edukacyjna</t>
  </si>
  <si>
    <t xml:space="preserve">cel: podniesienie kompetencji matematyczno-językowych przy wykorzystaniu wypracowanych innowacyjnych metod pracy oraz zastosowania technik multimedialnych dla dzieci w wieku przedszkolnym </t>
  </si>
  <si>
    <t xml:space="preserve">Projekt pt. „Pod wspólnym niebem Europy”
</t>
  </si>
  <si>
    <t>Przedszkole nr 32 z oddziałami integracyjntmi w Koninie</t>
  </si>
  <si>
    <t xml:space="preserve">8. </t>
  </si>
  <si>
    <t xml:space="preserve"> remont rzeźby „Chrystus na krzyżu”   Parafia pw. Św. Andrzeja Apostoła w Koninie – Gosławicach 
</t>
  </si>
  <si>
    <t>ZAŁĄCZNIK nr 3</t>
  </si>
  <si>
    <r>
      <t>Nr 69 Rady Miasta Konina z dnia 25 marca 2015 r.</t>
    </r>
    <r>
      <rPr>
        <sz val="12"/>
        <rFont val="Times New Roman CE"/>
        <family val="1"/>
      </rPr>
      <t xml:space="preserve">; Nr 40/2015 Prezydenta Miasta Konina z dnia </t>
    </r>
  </si>
  <si>
    <r>
      <t>26 marca 2015 r.; Nr  47/2015 Prezydenta Miasta Konina z dnia 10 kwietnia 2015 r.;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Nr 52/2015 Prezydenta </t>
    </r>
  </si>
  <si>
    <t>Konina z dnia 6 sierpnia 2015 r.; Nr 157 Rady Miasta Konina z dnia 10 sierpnia 2015 r.;</t>
  </si>
  <si>
    <t xml:space="preserve"> Nr 113/2015 Prezydenta Miasta Konina z dnia 31 sierpnia 2015 r.;  Nr 159 Rady Miasta Konina z dnia</t>
  </si>
  <si>
    <t xml:space="preserve">11 września 2015 r.; Nr 121/2015 Prezydenta Miasta Konina z dnia 17 września 2015 r.;   </t>
  </si>
  <si>
    <t>854</t>
  </si>
  <si>
    <t>85401</t>
  </si>
  <si>
    <t>0970</t>
  </si>
  <si>
    <t>80104</t>
  </si>
  <si>
    <t>0830</t>
  </si>
  <si>
    <t>(Dz. U. z 2015 r. poz. 1515), art. 211 ustawy z dnia 27 sierpnia 2009 r. o finansach  publicznych</t>
  </si>
  <si>
    <t>853</t>
  </si>
  <si>
    <t>85395</t>
  </si>
  <si>
    <t>85311</t>
  </si>
  <si>
    <t>4280</t>
  </si>
  <si>
    <t>80146</t>
  </si>
  <si>
    <t>4410</t>
  </si>
  <si>
    <t>0750</t>
  </si>
  <si>
    <t>Wyposażenie drogi ewakuacyjnej w awaryjne oświetlenie ewakuacyjne w Przedszkolu nr 17</t>
  </si>
  <si>
    <t xml:space="preserve">Rehabilitacja zawodowa i społeczna osób niepełnosprawnych </t>
  </si>
  <si>
    <t>90095</t>
  </si>
  <si>
    <t>4700</t>
  </si>
  <si>
    <t xml:space="preserve">do Uchwały nr </t>
  </si>
  <si>
    <t>Program Edukacyjny Erasmus+ Mobilność  edukacyjna</t>
  </si>
  <si>
    <t xml:space="preserve">9. </t>
  </si>
  <si>
    <t xml:space="preserve">Projekt pt. „Przekraczanie granic. Nowe podejście do integracji”
</t>
  </si>
  <si>
    <t>Zakup schodołazu do budynku Centrum Informacji Miejskiej</t>
  </si>
  <si>
    <t xml:space="preserve">Zakup i montaż wiat przystankowych  </t>
  </si>
  <si>
    <t>Lokalny transport zbiorowy</t>
  </si>
  <si>
    <t>cel: międzynarodowa wymiana młodzieży pod kątem poszukiwania nowych metod integracji w środowisku osób niepełnosprawnych, poszerzenie kompetencji</t>
  </si>
  <si>
    <t xml:space="preserve">Zmniejsza się plan wydatków o kwotę </t>
  </si>
  <si>
    <t>6800</t>
  </si>
  <si>
    <t>pkt 3) kwotę rezerwy celowej na inwestycje i zakupy inwestycyjne</t>
  </si>
  <si>
    <t xml:space="preserve"> Nr 128/2015 Prezydenta Miasta Konina z dnia 8 października 2015 r.; Nr 130/2015 Prezydenta Miasta Konina</t>
  </si>
  <si>
    <t xml:space="preserve">                                     UCHWAŁA  NR  </t>
  </si>
  <si>
    <t xml:space="preserve">                                     z dnia  25 listopada  2015 roku</t>
  </si>
  <si>
    <t xml:space="preserve"> z dnia 22 października 2015 r.; Nr 198 Rady Miasta Konina z dnia 28 października 2015 r.; Nr 133/2015 </t>
  </si>
  <si>
    <r>
      <t xml:space="preserve">Prezydenta Miasta Konina z dnia 29 października 2015 r.; </t>
    </r>
    <r>
      <rPr>
        <b/>
        <sz val="12"/>
        <rFont val="Times New Roman"/>
        <family val="1"/>
      </rPr>
      <t>- wprowadza się następujące zmiany:</t>
    </r>
  </si>
  <si>
    <t>0920</t>
  </si>
  <si>
    <t>2007</t>
  </si>
  <si>
    <t>2009</t>
  </si>
  <si>
    <t>2320</t>
  </si>
  <si>
    <r>
      <t xml:space="preserve"> 4. W Załączniku  nr 6 do uchwały budżetowej obejmującym   </t>
    </r>
    <r>
      <rPr>
        <i/>
        <sz val="12"/>
        <rFont val="Times New Roman"/>
        <family val="1"/>
      </rPr>
      <t>"Plan dotacji i wydatków zadań</t>
    </r>
  </si>
  <si>
    <r>
      <rPr>
        <i/>
        <sz val="12"/>
        <rFont val="Times New Roman"/>
        <family val="1"/>
      </rPr>
      <t>na 2015 rok - zadania własne"</t>
    </r>
    <r>
      <rPr>
        <sz val="12"/>
        <rFont val="Times New Roman"/>
        <family val="1"/>
      </rPr>
      <t xml:space="preserve">  dokonuje się następujących zmian:</t>
    </r>
  </si>
  <si>
    <t>Zwiększa się plan dotacji celowej o kwotę</t>
  </si>
  <si>
    <t xml:space="preserve">realizowanych na podstawie porozumień między jednostkami samorządu terytorialnego </t>
  </si>
  <si>
    <t>dz.853 rozdz.85311 § 2320 zwiększa się o kwotę</t>
  </si>
  <si>
    <t>dz.853 rozdz.85311 § 2580 zwiększa się o kwotę</t>
  </si>
  <si>
    <t>6010</t>
  </si>
  <si>
    <t>2827</t>
  </si>
  <si>
    <t>2829</t>
  </si>
  <si>
    <t>4117</t>
  </si>
  <si>
    <t>4119</t>
  </si>
  <si>
    <t>4127</t>
  </si>
  <si>
    <t>4129</t>
  </si>
  <si>
    <t>4177</t>
  </si>
  <si>
    <t>4179</t>
  </si>
  <si>
    <t>4217</t>
  </si>
  <si>
    <t>4219</t>
  </si>
  <si>
    <t>4307</t>
  </si>
  <si>
    <t>4309</t>
  </si>
  <si>
    <t>dz.900 rozdz.90095 § 6010 zmniejsza się o kwotę</t>
  </si>
  <si>
    <t xml:space="preserve">Wniesienie wkładu pieniężnego na budowę sieci wodociągowej w Koninie </t>
  </si>
  <si>
    <t>w ulicy Ignacego Domeyki  os. Laskówiec</t>
  </si>
  <si>
    <t>2580</t>
  </si>
  <si>
    <t>5. W § 1 ust. 3</t>
  </si>
  <si>
    <t>7. W Załączniku Nr 2 do uchwały budżetowej dokonuje się następujących zmian:</t>
  </si>
  <si>
    <t>z dnia 25 listopada 2015 roku</t>
  </si>
  <si>
    <t>z dnia 25 listopada  2015 roku</t>
  </si>
  <si>
    <t>700</t>
  </si>
  <si>
    <t>4300</t>
  </si>
  <si>
    <t>6060</t>
  </si>
  <si>
    <t>710</t>
  </si>
  <si>
    <t>71012</t>
  </si>
  <si>
    <t>71013</t>
  </si>
  <si>
    <t>dz. 710  rozdz.71012  § 6060   zwiększa się o kwotę</t>
  </si>
  <si>
    <t>Zakup sprzętu komputerowego, kserograficznego i drukującego</t>
  </si>
  <si>
    <t>dz. 750  rozdz.75023  § 6060   zwiększa się o kwotę</t>
  </si>
  <si>
    <t>630</t>
  </si>
  <si>
    <t>63095</t>
  </si>
  <si>
    <t>750</t>
  </si>
  <si>
    <t>75023</t>
  </si>
  <si>
    <t>4330</t>
  </si>
  <si>
    <t>2540</t>
  </si>
  <si>
    <t>80110</t>
  </si>
  <si>
    <t>80120</t>
  </si>
  <si>
    <t>2590</t>
  </si>
  <si>
    <t>80130</t>
  </si>
  <si>
    <t>85403</t>
  </si>
  <si>
    <t>852</t>
  </si>
  <si>
    <t>85219</t>
  </si>
  <si>
    <t>4260</t>
  </si>
  <si>
    <t>4270</t>
  </si>
  <si>
    <t>4360</t>
  </si>
  <si>
    <t>4420</t>
  </si>
  <si>
    <t>4510</t>
  </si>
  <si>
    <t>6050</t>
  </si>
  <si>
    <t>85202</t>
  </si>
  <si>
    <t>4220</t>
  </si>
  <si>
    <t>70005</t>
  </si>
  <si>
    <t>4430</t>
  </si>
  <si>
    <t>4480</t>
  </si>
  <si>
    <t>71014</t>
  </si>
  <si>
    <t>3020</t>
  </si>
  <si>
    <t>4040</t>
  </si>
  <si>
    <t>4440</t>
  </si>
  <si>
    <t>3117</t>
  </si>
  <si>
    <t>3119</t>
  </si>
  <si>
    <t>4019</t>
  </si>
  <si>
    <t>4017</t>
  </si>
  <si>
    <t>4287</t>
  </si>
  <si>
    <t>4289</t>
  </si>
  <si>
    <t>85412</t>
  </si>
  <si>
    <t>80102</t>
  </si>
  <si>
    <t>4240</t>
  </si>
  <si>
    <t>80111</t>
  </si>
  <si>
    <t>80134</t>
  </si>
  <si>
    <t>80144</t>
  </si>
  <si>
    <t>4390</t>
  </si>
  <si>
    <t>4520</t>
  </si>
  <si>
    <t>85446</t>
  </si>
  <si>
    <t>80150</t>
  </si>
  <si>
    <t>80145</t>
  </si>
  <si>
    <t>4047</t>
  </si>
  <si>
    <t>4247</t>
  </si>
  <si>
    <t>4417</t>
  </si>
  <si>
    <t>85215</t>
  </si>
  <si>
    <t>3110</t>
  </si>
  <si>
    <t>4530</t>
  </si>
  <si>
    <t>dz.600 rozdz.60015 § 6050 zmniejsza się o kwotę</t>
  </si>
  <si>
    <t>Budowa oświetlenia ul. Jeziornej i Okólnej w Koninie - etap I</t>
  </si>
  <si>
    <t>90015</t>
  </si>
  <si>
    <t>600</t>
  </si>
  <si>
    <t>60015</t>
  </si>
  <si>
    <t xml:space="preserve">dz.900 rozdz.90015 § 6050 zwiększa się o kwotę </t>
  </si>
  <si>
    <t>dz. 852  rozdz.85219  § 6050   zwiększa się o kwotę</t>
  </si>
  <si>
    <t xml:space="preserve">Instalacja monitoringu i systemu alarmowego w budynku </t>
  </si>
  <si>
    <t>Miejskiego Ośrodka Pomocy Rodzinie w Koninie</t>
  </si>
  <si>
    <t>Instalacja monitoringu i systemu alarmowego w budynku Miejskiego Ośrodka Pomocy Rodzinie w Koninie</t>
  </si>
  <si>
    <t>Ośrodki pomocy społecznej</t>
  </si>
  <si>
    <t xml:space="preserve">sanitarnej i wodociągu w budynku  po Sądzie Rejonowym </t>
  </si>
  <si>
    <t xml:space="preserve">Wniesienie wkładu pieniężnego na budowę sieci wodociągowej w ciągu </t>
  </si>
  <si>
    <t xml:space="preserve"> pieszo jezdnym w Koninie - rejon ulicy Grójeckiej - os. Grójec</t>
  </si>
  <si>
    <t>dz. 758  rozdz.75818  § 6800   zwiększa się o kwotę</t>
  </si>
  <si>
    <t>0690</t>
  </si>
  <si>
    <t xml:space="preserve">        "Ustala się kwotę wydatków na ochronę środowiska związanych z realizacją ustawy </t>
  </si>
  <si>
    <t xml:space="preserve">      Prawo ochrony środowiska z tego:</t>
  </si>
  <si>
    <t xml:space="preserve">         a)      wydatki bieżące  </t>
  </si>
  <si>
    <t>(dz.900)</t>
  </si>
  <si>
    <t xml:space="preserve">         b)      wydatki majątkowe  </t>
  </si>
  <si>
    <t>8. W § 1  ust. 4 otrzymuje brzmienie w treści:</t>
  </si>
  <si>
    <t>(dz. 600; 700; 900 i 921)"</t>
  </si>
  <si>
    <t>9. W § 1  w ust. 5</t>
  </si>
  <si>
    <t>10. Załącznik nr 5 do uchwały budżetowej obejmujący:</t>
  </si>
  <si>
    <r>
      <t xml:space="preserve">11. Załącznik nr 11 do uchwały budżetowej obejmujący  </t>
    </r>
    <r>
      <rPr>
        <i/>
        <sz val="13"/>
        <rFont val="Times New Roman"/>
        <family val="1"/>
      </rPr>
      <t>"Plan dotacji dla podmiotów  nie</t>
    </r>
  </si>
  <si>
    <t>12. W § 4 do uchwały budżetowej dokonuje się następujących zmian:</t>
  </si>
  <si>
    <t>pkt 1)  kwotę rezerwy ogólnej</t>
  </si>
  <si>
    <t xml:space="preserve">         w tym:</t>
  </si>
  <si>
    <t>pkt 2)  kwotę rezerwy celowej oświatowej</t>
  </si>
  <si>
    <t xml:space="preserve">Wniesienie wkładu pieniężnego do PWiK Sp. z o.o. na budowę kanalizacji </t>
  </si>
  <si>
    <t>Druk nr 242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</si>
</sst>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70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i/>
      <sz val="13"/>
      <name val="Times New Roman"/>
      <family val="1"/>
    </font>
    <font>
      <sz val="9"/>
      <name val="Arial"/>
      <family val="0"/>
    </font>
    <font>
      <sz val="12"/>
      <name val="Arial"/>
      <family val="0"/>
    </font>
    <font>
      <i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10"/>
      <name val="Arial"/>
      <family val="0"/>
    </font>
    <font>
      <b/>
      <i/>
      <sz val="16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 CE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9"/>
      <name val="Times New Roman"/>
      <family val="1"/>
    </font>
    <font>
      <b/>
      <i/>
      <sz val="10"/>
      <color indexed="10"/>
      <name val="Arial"/>
      <family val="2"/>
    </font>
    <font>
      <b/>
      <sz val="9"/>
      <name val="Arial"/>
      <family val="2"/>
    </font>
    <font>
      <sz val="9"/>
      <color indexed="10"/>
      <name val="Times New Roman"/>
      <family val="1"/>
    </font>
    <font>
      <sz val="12"/>
      <name val="Times New Roman CE"/>
      <family val="1"/>
    </font>
    <font>
      <sz val="16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7" borderId="1" applyNumberFormat="0" applyAlignment="0" applyProtection="0"/>
    <xf numFmtId="0" fontId="56" fillId="20" borderId="2" applyNumberFormat="0" applyAlignment="0" applyProtection="0"/>
    <xf numFmtId="0" fontId="5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4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686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>
      <alignment/>
      <protection/>
    </xf>
    <xf numFmtId="4" fontId="3" fillId="0" borderId="0" xfId="53" applyNumberFormat="1" applyFont="1" applyFill="1">
      <alignment/>
      <protection/>
    </xf>
    <xf numFmtId="0" fontId="9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9" fillId="0" borderId="12" xfId="52" applyFont="1" applyFill="1" applyBorder="1" applyAlignment="1">
      <alignment horizontal="center" vertical="top"/>
      <protection/>
    </xf>
    <xf numFmtId="0" fontId="10" fillId="0" borderId="13" xfId="52" applyFont="1" applyFill="1" applyBorder="1" applyAlignment="1">
      <alignment vertical="center"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4" fontId="2" fillId="0" borderId="0" xfId="52" applyNumberFormat="1" applyFont="1" applyFill="1">
      <alignment/>
      <protection/>
    </xf>
    <xf numFmtId="4" fontId="5" fillId="0" borderId="0" xfId="52" applyNumberFormat="1" applyFont="1" applyFill="1" applyBorder="1" applyAlignment="1">
      <alignment horizontal="right"/>
      <protection/>
    </xf>
    <xf numFmtId="0" fontId="15" fillId="0" borderId="0" xfId="52" applyFont="1" applyFill="1">
      <alignment/>
      <protection/>
    </xf>
    <xf numFmtId="4" fontId="11" fillId="0" borderId="0" xfId="52" applyNumberFormat="1" applyFont="1" applyFill="1" applyAlignment="1">
      <alignment vertical="center"/>
      <protection/>
    </xf>
    <xf numFmtId="4" fontId="11" fillId="0" borderId="0" xfId="52" applyNumberFormat="1" applyFont="1" applyFill="1">
      <alignment/>
      <protection/>
    </xf>
    <xf numFmtId="4" fontId="7" fillId="0" borderId="0" xfId="56" applyNumberFormat="1" applyFont="1" applyFill="1" applyAlignment="1">
      <alignment horizontal="right"/>
      <protection/>
    </xf>
    <xf numFmtId="0" fontId="2" fillId="0" borderId="0" xfId="53" applyFont="1" applyFill="1">
      <alignment/>
      <protection/>
    </xf>
    <xf numFmtId="0" fontId="2" fillId="0" borderId="0" xfId="0" applyFont="1" applyFill="1" applyAlignment="1">
      <alignment/>
    </xf>
    <xf numFmtId="4" fontId="5" fillId="0" borderId="0" xfId="52" applyNumberFormat="1" applyFont="1" applyFill="1" applyAlignment="1">
      <alignment vertical="center"/>
      <protection/>
    </xf>
    <xf numFmtId="0" fontId="7" fillId="0" borderId="0" xfId="0" applyFont="1" applyFill="1" applyAlignment="1">
      <alignment/>
    </xf>
    <xf numFmtId="4" fontId="5" fillId="0" borderId="0" xfId="52" applyNumberFormat="1" applyFont="1" applyFill="1" applyBorder="1" applyAlignment="1">
      <alignment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53" applyFont="1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3" fillId="0" borderId="0" xfId="52" applyNumberFormat="1" applyFont="1" applyFill="1" applyBorder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4" fontId="13" fillId="0" borderId="0" xfId="52" applyNumberFormat="1" applyFont="1" applyFill="1" applyAlignment="1">
      <alignment vertical="center"/>
      <protection/>
    </xf>
    <xf numFmtId="0" fontId="13" fillId="0" borderId="0" xfId="52" applyFont="1" applyFill="1">
      <alignment/>
      <protection/>
    </xf>
    <xf numFmtId="0" fontId="2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" fontId="2" fillId="0" borderId="0" xfId="53" applyNumberFormat="1" applyFont="1" applyFill="1" applyAlignment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2" fillId="0" borderId="0" xfId="53" applyNumberFormat="1" applyFont="1" applyFill="1">
      <alignment/>
      <protection/>
    </xf>
    <xf numFmtId="49" fontId="9" fillId="0" borderId="0" xfId="53" applyNumberFormat="1" applyFont="1" applyFill="1">
      <alignment/>
      <protection/>
    </xf>
    <xf numFmtId="49" fontId="9" fillId="0" borderId="0" xfId="53" applyNumberFormat="1" applyFont="1" applyFill="1" applyAlignment="1">
      <alignment horizontal="center"/>
      <protection/>
    </xf>
    <xf numFmtId="49" fontId="3" fillId="0" borderId="0" xfId="53" applyNumberFormat="1" applyFont="1" applyFill="1">
      <alignment/>
      <protection/>
    </xf>
    <xf numFmtId="49" fontId="9" fillId="0" borderId="0" xfId="0" applyNumberFormat="1" applyFont="1" applyFill="1" applyAlignment="1">
      <alignment/>
    </xf>
    <xf numFmtId="49" fontId="3" fillId="0" borderId="0" xfId="52" applyNumberFormat="1" applyFont="1" applyFill="1">
      <alignment/>
      <protection/>
    </xf>
    <xf numFmtId="4" fontId="20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9" fontId="4" fillId="0" borderId="0" xfId="55" applyNumberFormat="1" applyFont="1" applyFill="1">
      <alignment/>
      <protection/>
    </xf>
    <xf numFmtId="49" fontId="27" fillId="0" borderId="0" xfId="55" applyNumberFormat="1" applyFont="1" applyFill="1">
      <alignment/>
      <protection/>
    </xf>
    <xf numFmtId="49" fontId="27" fillId="0" borderId="0" xfId="55" applyNumberFormat="1" applyFont="1" applyFill="1" applyAlignment="1">
      <alignment horizontal="center"/>
      <protection/>
    </xf>
    <xf numFmtId="0" fontId="27" fillId="0" borderId="0" xfId="0" applyFont="1" applyFill="1" applyAlignment="1">
      <alignment horizontal="left"/>
    </xf>
    <xf numFmtId="0" fontId="27" fillId="0" borderId="0" xfId="53" applyFont="1" applyFill="1">
      <alignment/>
      <protection/>
    </xf>
    <xf numFmtId="4" fontId="2" fillId="0" borderId="0" xfId="0" applyNumberFormat="1" applyFont="1" applyFill="1" applyAlignment="1">
      <alignment/>
    </xf>
    <xf numFmtId="49" fontId="9" fillId="0" borderId="0" xfId="55" applyNumberFormat="1" applyFont="1" applyFill="1">
      <alignment/>
      <protection/>
    </xf>
    <xf numFmtId="49" fontId="9" fillId="0" borderId="0" xfId="55" applyNumberFormat="1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49" fontId="3" fillId="0" borderId="0" xfId="55" applyNumberFormat="1" applyFont="1" applyFill="1">
      <alignment/>
      <protection/>
    </xf>
    <xf numFmtId="49" fontId="7" fillId="0" borderId="0" xfId="55" applyNumberFormat="1" applyFont="1" applyFill="1">
      <alignment/>
      <protection/>
    </xf>
    <xf numFmtId="49" fontId="7" fillId="0" borderId="0" xfId="55" applyNumberFormat="1" applyFont="1" applyFill="1" applyAlignment="1">
      <alignment horizontal="center"/>
      <protection/>
    </xf>
    <xf numFmtId="49" fontId="9" fillId="0" borderId="14" xfId="52" applyNumberFormat="1" applyFont="1" applyFill="1" applyBorder="1">
      <alignment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>
      <alignment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4" fontId="5" fillId="0" borderId="12" xfId="52" applyNumberFormat="1" applyFont="1" applyFill="1" applyBorder="1" applyAlignment="1">
      <alignment horizontal="right" vertical="top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" fontId="3" fillId="0" borderId="12" xfId="52" applyNumberFormat="1" applyFont="1" applyFill="1" applyBorder="1" applyAlignment="1">
      <alignment horizontal="right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7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49" fontId="5" fillId="0" borderId="0" xfId="52" applyNumberFormat="1" applyFont="1" applyFill="1" applyBorder="1" applyAlignment="1">
      <alignment horizontal="left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" fontId="5" fillId="0" borderId="0" xfId="52" applyNumberFormat="1" applyFont="1" applyFill="1" applyBorder="1" applyAlignment="1">
      <alignment horizontal="right" vertical="center"/>
      <protection/>
    </xf>
    <xf numFmtId="4" fontId="5" fillId="0" borderId="18" xfId="52" applyNumberFormat="1" applyFont="1" applyFill="1" applyBorder="1" applyAlignment="1">
      <alignment horizontal="right" vertical="top"/>
      <protection/>
    </xf>
    <xf numFmtId="0" fontId="11" fillId="0" borderId="0" xfId="0" applyFont="1" applyFill="1" applyAlignment="1">
      <alignment/>
    </xf>
    <xf numFmtId="49" fontId="3" fillId="0" borderId="12" xfId="52" applyNumberFormat="1" applyFont="1" applyFill="1" applyBorder="1" applyAlignment="1">
      <alignment horizontal="center" vertical="center"/>
      <protection/>
    </xf>
    <xf numFmtId="4" fontId="5" fillId="0" borderId="18" xfId="52" applyNumberFormat="1" applyFont="1" applyFill="1" applyBorder="1" applyAlignment="1">
      <alignment horizontal="right" vertical="center"/>
      <protection/>
    </xf>
    <xf numFmtId="49" fontId="3" fillId="0" borderId="0" xfId="0" applyNumberFormat="1" applyFont="1" applyFill="1" applyAlignment="1">
      <alignment/>
    </xf>
    <xf numFmtId="49" fontId="9" fillId="0" borderId="0" xfId="52" applyNumberFormat="1" applyFont="1" applyFill="1">
      <alignment/>
      <protection/>
    </xf>
    <xf numFmtId="49" fontId="9" fillId="0" borderId="0" xfId="52" applyNumberFormat="1" applyFont="1" applyFill="1" applyAlignment="1">
      <alignment horizontal="center"/>
      <protection/>
    </xf>
    <xf numFmtId="49" fontId="5" fillId="0" borderId="0" xfId="52" applyNumberFormat="1" applyFont="1" applyFill="1">
      <alignment/>
      <protection/>
    </xf>
    <xf numFmtId="49" fontId="12" fillId="0" borderId="0" xfId="52" applyNumberFormat="1" applyFont="1" applyFill="1" applyAlignment="1">
      <alignment horizontal="center"/>
      <protection/>
    </xf>
    <xf numFmtId="4" fontId="5" fillId="0" borderId="0" xfId="52" applyNumberFormat="1" applyFont="1" applyFill="1">
      <alignment/>
      <protection/>
    </xf>
    <xf numFmtId="49" fontId="7" fillId="0" borderId="0" xfId="52" applyNumberFormat="1" applyFont="1" applyFill="1">
      <alignment/>
      <protection/>
    </xf>
    <xf numFmtId="4" fontId="3" fillId="0" borderId="0" xfId="52" applyNumberFormat="1" applyFont="1" applyFill="1">
      <alignment/>
      <protection/>
    </xf>
    <xf numFmtId="49" fontId="6" fillId="0" borderId="0" xfId="0" applyNumberFormat="1" applyFont="1" applyFill="1" applyAlignment="1">
      <alignment horizontal="left"/>
    </xf>
    <xf numFmtId="49" fontId="6" fillId="0" borderId="0" xfId="53" applyNumberFormat="1" applyFont="1" applyFill="1">
      <alignment/>
      <protection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27" fillId="0" borderId="0" xfId="53" applyNumberFormat="1" applyFont="1" applyFill="1">
      <alignment/>
      <protection/>
    </xf>
    <xf numFmtId="4" fontId="9" fillId="0" borderId="0" xfId="52" applyNumberFormat="1" applyFont="1" applyFill="1">
      <alignment/>
      <protection/>
    </xf>
    <xf numFmtId="49" fontId="17" fillId="0" borderId="0" xfId="52" applyNumberFormat="1" applyFont="1" applyFill="1">
      <alignment/>
      <protection/>
    </xf>
    <xf numFmtId="49" fontId="5" fillId="0" borderId="0" xfId="52" applyNumberFormat="1" applyFont="1" applyFill="1" applyBorder="1">
      <alignment/>
      <protection/>
    </xf>
    <xf numFmtId="49" fontId="5" fillId="0" borderId="0" xfId="52" applyNumberFormat="1" applyFont="1" applyFill="1" applyBorder="1" applyAlignment="1">
      <alignment horizontal="center"/>
      <protection/>
    </xf>
    <xf numFmtId="49" fontId="15" fillId="0" borderId="0" xfId="52" applyNumberFormat="1" applyFont="1" applyFill="1">
      <alignment/>
      <protection/>
    </xf>
    <xf numFmtId="49" fontId="15" fillId="0" borderId="0" xfId="52" applyNumberFormat="1" applyFont="1" applyFill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20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 horizontal="center" vertical="center"/>
      <protection/>
    </xf>
    <xf numFmtId="49" fontId="9" fillId="0" borderId="19" xfId="52" applyNumberFormat="1" applyFont="1" applyFill="1" applyBorder="1">
      <alignment/>
      <protection/>
    </xf>
    <xf numFmtId="49" fontId="9" fillId="0" borderId="16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>
      <alignment/>
      <protection/>
    </xf>
    <xf numFmtId="49" fontId="9" fillId="0" borderId="17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center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horizontal="center" vertical="center"/>
      <protection/>
    </xf>
    <xf numFmtId="0" fontId="9" fillId="0" borderId="15" xfId="52" applyFont="1" applyFill="1" applyBorder="1" applyAlignment="1">
      <alignment horizontal="center" vertical="top"/>
      <protection/>
    </xf>
    <xf numFmtId="0" fontId="10" fillId="0" borderId="14" xfId="52" applyFont="1" applyFill="1" applyBorder="1" applyAlignment="1">
      <alignment vertical="center" wrapText="1"/>
      <protection/>
    </xf>
    <xf numFmtId="49" fontId="3" fillId="0" borderId="0" xfId="56" applyNumberFormat="1" applyFont="1" applyFill="1">
      <alignment/>
      <protection/>
    </xf>
    <xf numFmtId="49" fontId="23" fillId="0" borderId="0" xfId="56" applyNumberFormat="1" applyFont="1" applyFill="1">
      <alignment/>
      <protection/>
    </xf>
    <xf numFmtId="49" fontId="7" fillId="0" borderId="0" xfId="56" applyNumberFormat="1" applyFont="1" applyFill="1" applyAlignment="1">
      <alignment horizontal="center"/>
      <protection/>
    </xf>
    <xf numFmtId="49" fontId="26" fillId="0" borderId="0" xfId="52" applyNumberFormat="1" applyFont="1" applyFill="1">
      <alignment/>
      <protection/>
    </xf>
    <xf numFmtId="49" fontId="7" fillId="0" borderId="0" xfId="56" applyNumberFormat="1" applyFont="1" applyFill="1">
      <alignment/>
      <protection/>
    </xf>
    <xf numFmtId="49" fontId="4" fillId="0" borderId="0" xfId="52" applyNumberFormat="1" applyFont="1" applyFill="1">
      <alignment/>
      <protection/>
    </xf>
    <xf numFmtId="49" fontId="3" fillId="0" borderId="0" xfId="0" applyNumberFormat="1" applyFont="1" applyFill="1" applyBorder="1" applyAlignment="1">
      <alignment vertical="center"/>
    </xf>
    <xf numFmtId="49" fontId="7" fillId="0" borderId="0" xfId="56" applyNumberFormat="1" applyFont="1" applyFill="1" applyBorder="1" applyAlignment="1">
      <alignment horizontal="center"/>
      <protection/>
    </xf>
    <xf numFmtId="49" fontId="15" fillId="0" borderId="0" xfId="56" applyNumberFormat="1" applyFont="1" applyFill="1">
      <alignment/>
      <protection/>
    </xf>
    <xf numFmtId="49" fontId="31" fillId="0" borderId="0" xfId="56" applyNumberFormat="1" applyFont="1" applyFill="1">
      <alignment/>
      <protection/>
    </xf>
    <xf numFmtId="49" fontId="16" fillId="0" borderId="0" xfId="56" applyNumberFormat="1" applyFont="1" applyFill="1" applyAlignment="1">
      <alignment horizontal="center"/>
      <protection/>
    </xf>
    <xf numFmtId="4" fontId="16" fillId="0" borderId="0" xfId="56" applyNumberFormat="1" applyFont="1" applyFill="1" applyAlignment="1">
      <alignment horizontal="right"/>
      <protection/>
    </xf>
    <xf numFmtId="0" fontId="22" fillId="0" borderId="0" xfId="52" applyFont="1" applyFill="1">
      <alignment/>
      <protection/>
    </xf>
    <xf numFmtId="4" fontId="23" fillId="0" borderId="0" xfId="52" applyNumberFormat="1" applyFont="1" applyFill="1" applyBorder="1" applyAlignment="1">
      <alignment vertical="center"/>
      <protection/>
    </xf>
    <xf numFmtId="4" fontId="23" fillId="0" borderId="0" xfId="52" applyNumberFormat="1" applyFont="1" applyFill="1" applyAlignment="1">
      <alignment vertical="center"/>
      <protection/>
    </xf>
    <xf numFmtId="49" fontId="9" fillId="0" borderId="0" xfId="0" applyNumberFormat="1" applyFont="1" applyFill="1" applyAlignment="1">
      <alignment/>
    </xf>
    <xf numFmtId="49" fontId="3" fillId="0" borderId="0" xfId="55" applyNumberFormat="1" applyFont="1" applyFill="1" applyAlignment="1">
      <alignment horizontal="center"/>
      <protection/>
    </xf>
    <xf numFmtId="0" fontId="3" fillId="0" borderId="0" xfId="55" applyFont="1" applyFill="1">
      <alignment/>
      <protection/>
    </xf>
    <xf numFmtId="4" fontId="3" fillId="0" borderId="0" xfId="55" applyNumberFormat="1" applyFont="1" applyFill="1">
      <alignment/>
      <protection/>
    </xf>
    <xf numFmtId="49" fontId="15" fillId="0" borderId="0" xfId="55" applyNumberFormat="1" applyFont="1" applyFill="1">
      <alignment/>
      <protection/>
    </xf>
    <xf numFmtId="49" fontId="15" fillId="0" borderId="0" xfId="55" applyNumberFormat="1" applyFont="1" applyFill="1" applyAlignment="1">
      <alignment horizontal="center"/>
      <protection/>
    </xf>
    <xf numFmtId="0" fontId="15" fillId="0" borderId="0" xfId="55" applyFont="1" applyFill="1">
      <alignment/>
      <protection/>
    </xf>
    <xf numFmtId="4" fontId="15" fillId="0" borderId="0" xfId="55" applyNumberFormat="1" applyFont="1" applyFill="1">
      <alignment/>
      <protection/>
    </xf>
    <xf numFmtId="0" fontId="9" fillId="0" borderId="0" xfId="55" applyFont="1" applyFill="1">
      <alignment/>
      <protection/>
    </xf>
    <xf numFmtId="0" fontId="5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16" fillId="0" borderId="0" xfId="53" applyFont="1" applyFill="1">
      <alignment/>
      <protection/>
    </xf>
    <xf numFmtId="0" fontId="13" fillId="0" borderId="0" xfId="53" applyFont="1" applyFill="1" applyAlignment="1">
      <alignment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0" fontId="32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/>
    </xf>
    <xf numFmtId="49" fontId="31" fillId="0" borderId="0" xfId="0" applyNumberFormat="1" applyFont="1" applyFill="1" applyAlignment="1">
      <alignment/>
    </xf>
    <xf numFmtId="49" fontId="15" fillId="0" borderId="0" xfId="52" applyNumberFormat="1" applyFont="1" applyFill="1" applyAlignment="1">
      <alignment horizontal="left"/>
      <protection/>
    </xf>
    <xf numFmtId="0" fontId="25" fillId="0" borderId="0" xfId="53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49" fontId="15" fillId="0" borderId="0" xfId="0" applyNumberFormat="1" applyFont="1" applyFill="1" applyAlignment="1">
      <alignment/>
    </xf>
    <xf numFmtId="49" fontId="17" fillId="0" borderId="0" xfId="52" applyNumberFormat="1" applyFont="1" applyFill="1" applyBorder="1" applyAlignment="1">
      <alignment horizontal="center"/>
      <protection/>
    </xf>
    <xf numFmtId="4" fontId="17" fillId="0" borderId="0" xfId="52" applyNumberFormat="1" applyFont="1" applyFill="1" applyBorder="1" applyAlignment="1">
      <alignment horizontal="right"/>
      <protection/>
    </xf>
    <xf numFmtId="4" fontId="34" fillId="0" borderId="0" xfId="53" applyNumberFormat="1" applyFont="1" applyFill="1" applyAlignment="1">
      <alignment horizontal="right" vertical="center"/>
      <protection/>
    </xf>
    <xf numFmtId="4" fontId="3" fillId="0" borderId="13" xfId="52" applyNumberFormat="1" applyFont="1" applyFill="1" applyBorder="1" applyAlignment="1">
      <alignment horizontal="right" vertical="top"/>
      <protection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 vertical="center"/>
    </xf>
    <xf numFmtId="4" fontId="5" fillId="0" borderId="13" xfId="52" applyNumberFormat="1" applyFont="1" applyFill="1" applyBorder="1" applyAlignment="1">
      <alignment horizontal="right" vertical="top"/>
      <protection/>
    </xf>
    <xf numFmtId="0" fontId="35" fillId="0" borderId="0" xfId="0" applyFont="1" applyFill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4" fontId="21" fillId="0" borderId="0" xfId="52" applyNumberFormat="1" applyFont="1" applyFill="1" applyBorder="1" applyAlignment="1">
      <alignment vertical="center"/>
      <protection/>
    </xf>
    <xf numFmtId="49" fontId="3" fillId="0" borderId="0" xfId="53" applyNumberFormat="1" applyFont="1" applyFill="1" applyAlignment="1">
      <alignment horizontal="center"/>
      <protection/>
    </xf>
    <xf numFmtId="0" fontId="3" fillId="0" borderId="0" xfId="52" applyFont="1" applyFill="1" applyAlignment="1">
      <alignment vertical="center"/>
      <protection/>
    </xf>
    <xf numFmtId="4" fontId="3" fillId="0" borderId="12" xfId="52" applyNumberFormat="1" applyFont="1" applyFill="1" applyBorder="1" applyAlignment="1">
      <alignment horizontal="right" vertical="center" wrapText="1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left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" fontId="3" fillId="0" borderId="18" xfId="52" applyNumberFormat="1" applyFont="1" applyFill="1" applyBorder="1" applyAlignment="1">
      <alignment horizontal="right" vertical="top"/>
      <protection/>
    </xf>
    <xf numFmtId="49" fontId="16" fillId="0" borderId="0" xfId="53" applyNumberFormat="1" applyFont="1" applyFill="1">
      <alignment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/>
    </xf>
    <xf numFmtId="0" fontId="24" fillId="0" borderId="0" xfId="0" applyFont="1" applyFill="1" applyAlignment="1">
      <alignment vertical="center"/>
    </xf>
    <xf numFmtId="0" fontId="3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wrapText="1"/>
    </xf>
    <xf numFmtId="4" fontId="24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left"/>
    </xf>
    <xf numFmtId="1" fontId="35" fillId="0" borderId="0" xfId="0" applyNumberFormat="1" applyFont="1" applyFill="1" applyAlignment="1">
      <alignment horizont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wrapText="1"/>
    </xf>
    <xf numFmtId="0" fontId="24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1" fontId="9" fillId="0" borderId="19" xfId="0" applyNumberFormat="1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24" fillId="0" borderId="21" xfId="0" applyNumberFormat="1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vertical="center" wrapText="1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11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vertical="center"/>
    </xf>
    <xf numFmtId="4" fontId="40" fillId="0" borderId="21" xfId="0" applyNumberFormat="1" applyFont="1" applyFill="1" applyBorder="1" applyAlignment="1">
      <alignment vertical="center"/>
    </xf>
    <xf numFmtId="4" fontId="41" fillId="0" borderId="0" xfId="0" applyNumberFormat="1" applyFont="1" applyFill="1" applyAlignment="1">
      <alignment/>
    </xf>
    <xf numFmtId="4" fontId="41" fillId="0" borderId="0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4" fontId="40" fillId="0" borderId="13" xfId="0" applyNumberFormat="1" applyFont="1" applyFill="1" applyBorder="1" applyAlignment="1">
      <alignment vertical="center"/>
    </xf>
    <xf numFmtId="4" fontId="42" fillId="0" borderId="0" xfId="0" applyNumberFormat="1" applyFont="1" applyFill="1" applyAlignment="1">
      <alignment/>
    </xf>
    <xf numFmtId="4" fontId="42" fillId="0" borderId="0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vertical="center" wrapText="1"/>
    </xf>
    <xf numFmtId="4" fontId="39" fillId="0" borderId="13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4" fontId="24" fillId="0" borderId="10" xfId="0" applyNumberFormat="1" applyFont="1" applyFill="1" applyBorder="1" applyAlignment="1">
      <alignment vertical="center"/>
    </xf>
    <xf numFmtId="4" fontId="24" fillId="0" borderId="13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0" fontId="43" fillId="0" borderId="0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4" fontId="40" fillId="0" borderId="10" xfId="0" applyNumberFormat="1" applyFont="1" applyFill="1" applyBorder="1" applyAlignment="1">
      <alignment vertical="center" wrapText="1"/>
    </xf>
    <xf numFmtId="4" fontId="40" fillId="0" borderId="13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vertical="center" wrapText="1"/>
    </xf>
    <xf numFmtId="4" fontId="24" fillId="0" borderId="13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 wrapText="1"/>
    </xf>
    <xf numFmtId="4" fontId="40" fillId="0" borderId="21" xfId="0" applyNumberFormat="1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vertical="center" wrapText="1"/>
    </xf>
    <xf numFmtId="4" fontId="39" fillId="0" borderId="21" xfId="0" applyNumberFormat="1" applyFont="1" applyFill="1" applyBorder="1" applyAlignment="1">
      <alignment vertical="center" wrapText="1"/>
    </xf>
    <xf numFmtId="4" fontId="39" fillId="0" borderId="12" xfId="0" applyNumberFormat="1" applyFont="1" applyFill="1" applyBorder="1" applyAlignment="1">
      <alignment vertical="center" wrapText="1"/>
    </xf>
    <xf numFmtId="0" fontId="22" fillId="0" borderId="20" xfId="0" applyFont="1" applyFill="1" applyBorder="1" applyAlignment="1">
      <alignment horizontal="center" vertical="center"/>
    </xf>
    <xf numFmtId="0" fontId="24" fillId="0" borderId="13" xfId="52" applyFont="1" applyFill="1" applyBorder="1" applyAlignment="1">
      <alignment vertical="center" wrapText="1"/>
      <protection/>
    </xf>
    <xf numFmtId="4" fontId="24" fillId="0" borderId="23" xfId="0" applyNumberFormat="1" applyFont="1" applyFill="1" applyBorder="1" applyAlignment="1">
      <alignment vertical="center" wrapText="1"/>
    </xf>
    <xf numFmtId="0" fontId="40" fillId="0" borderId="22" xfId="0" applyFont="1" applyFill="1" applyBorder="1" applyAlignment="1">
      <alignment vertical="center" wrapText="1"/>
    </xf>
    <xf numFmtId="0" fontId="36" fillId="0" borderId="15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center" wrapText="1"/>
    </xf>
    <xf numFmtId="4" fontId="24" fillId="0" borderId="21" xfId="0" applyNumberFormat="1" applyFont="1" applyFill="1" applyBorder="1" applyAlignment="1">
      <alignment vertical="center" wrapText="1"/>
    </xf>
    <xf numFmtId="4" fontId="24" fillId="0" borderId="12" xfId="0" applyNumberFormat="1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 wrapText="1"/>
    </xf>
    <xf numFmtId="0" fontId="40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4" fillId="0" borderId="19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4" fontId="24" fillId="0" borderId="10" xfId="52" applyNumberFormat="1" applyFont="1" applyFill="1" applyBorder="1" applyAlignment="1">
      <alignment vertical="center"/>
      <protection/>
    </xf>
    <xf numFmtId="4" fontId="24" fillId="0" borderId="13" xfId="52" applyNumberFormat="1" applyFont="1" applyFill="1" applyBorder="1" applyAlignment="1">
      <alignment vertical="center"/>
      <protection/>
    </xf>
    <xf numFmtId="0" fontId="12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4" fontId="39" fillId="0" borderId="10" xfId="52" applyNumberFormat="1" applyFont="1" applyFill="1" applyBorder="1" applyAlignment="1">
      <alignment vertical="center"/>
      <protection/>
    </xf>
    <xf numFmtId="4" fontId="39" fillId="0" borderId="13" xfId="52" applyNumberFormat="1" applyFont="1" applyFill="1" applyBorder="1" applyAlignment="1">
      <alignment vertical="center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35" fillId="0" borderId="21" xfId="0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 wrapText="1"/>
    </xf>
    <xf numFmtId="0" fontId="24" fillId="0" borderId="10" xfId="52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/>
    </xf>
    <xf numFmtId="0" fontId="24" fillId="0" borderId="19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12" fillId="0" borderId="13" xfId="0" applyFont="1" applyFill="1" applyBorder="1" applyAlignment="1">
      <alignment vertical="center"/>
    </xf>
    <xf numFmtId="0" fontId="40" fillId="0" borderId="10" xfId="52" applyFont="1" applyFill="1" applyBorder="1" applyAlignment="1">
      <alignment vertical="center" wrapText="1"/>
      <protection/>
    </xf>
    <xf numFmtId="4" fontId="40" fillId="0" borderId="10" xfId="52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39" fillId="0" borderId="1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0" xfId="52" applyFont="1" applyFill="1" applyBorder="1" applyAlignment="1">
      <alignment vertical="center" wrapText="1"/>
      <protection/>
    </xf>
    <xf numFmtId="4" fontId="39" fillId="0" borderId="10" xfId="52" applyNumberFormat="1" applyFont="1" applyFill="1" applyBorder="1" applyAlignment="1">
      <alignment vertical="center" wrapText="1"/>
      <protection/>
    </xf>
    <xf numFmtId="4" fontId="39" fillId="0" borderId="13" xfId="52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39" fillId="0" borderId="13" xfId="52" applyFont="1" applyFill="1" applyBorder="1" applyAlignment="1">
      <alignment vertical="center" wrapText="1"/>
      <protection/>
    </xf>
    <xf numFmtId="0" fontId="12" fillId="0" borderId="13" xfId="0" applyFont="1" applyFill="1" applyBorder="1" applyAlignment="1">
      <alignment vertical="center" wrapText="1"/>
    </xf>
    <xf numFmtId="4" fontId="40" fillId="0" borderId="10" xfId="52" applyNumberFormat="1" applyFont="1" applyFill="1" applyBorder="1" applyAlignment="1">
      <alignment vertical="center"/>
      <protection/>
    </xf>
    <xf numFmtId="0" fontId="22" fillId="0" borderId="13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4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4" fontId="46" fillId="0" borderId="13" xfId="0" applyNumberFormat="1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/>
    </xf>
    <xf numFmtId="49" fontId="24" fillId="0" borderId="11" xfId="52" applyNumberFormat="1" applyFont="1" applyFill="1" applyBorder="1" applyAlignment="1">
      <alignment horizontal="left" vertical="center" wrapText="1"/>
      <protection/>
    </xf>
    <xf numFmtId="0" fontId="9" fillId="0" borderId="2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0" xfId="52" applyFont="1" applyFill="1" applyBorder="1" applyAlignment="1">
      <alignment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3" xfId="52" applyFont="1" applyFill="1" applyBorder="1" applyAlignment="1">
      <alignment vertical="center" wrapText="1"/>
      <protection/>
    </xf>
    <xf numFmtId="4" fontId="40" fillId="0" borderId="13" xfId="52" applyNumberFormat="1" applyFont="1" applyFill="1" applyBorder="1" applyAlignment="1">
      <alignment vertical="center" wrapText="1"/>
      <protection/>
    </xf>
    <xf numFmtId="0" fontId="45" fillId="0" borderId="0" xfId="0" applyFont="1" applyFill="1" applyAlignment="1">
      <alignment vertical="center"/>
    </xf>
    <xf numFmtId="4" fontId="45" fillId="0" borderId="0" xfId="0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9" fillId="0" borderId="22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4" fontId="24" fillId="0" borderId="10" xfId="52" applyNumberFormat="1" applyFont="1" applyFill="1" applyBorder="1" applyAlignment="1">
      <alignment vertical="center" wrapText="1"/>
      <protection/>
    </xf>
    <xf numFmtId="4" fontId="24" fillId="0" borderId="13" xfId="52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40" fillId="0" borderId="2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" fontId="40" fillId="0" borderId="23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4" fontId="32" fillId="0" borderId="0" xfId="0" applyNumberFormat="1" applyFont="1" applyFill="1" applyAlignment="1">
      <alignment/>
    </xf>
    <xf numFmtId="4" fontId="37" fillId="0" borderId="0" xfId="0" applyNumberFormat="1" applyFont="1" applyFill="1" applyBorder="1" applyAlignment="1">
      <alignment/>
    </xf>
    <xf numFmtId="4" fontId="48" fillId="0" borderId="0" xfId="0" applyNumberFormat="1" applyFont="1" applyFill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9" fillId="0" borderId="13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4" fontId="5" fillId="0" borderId="13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0" fontId="40" fillId="0" borderId="14" xfId="0" applyFont="1" applyFill="1" applyBorder="1" applyAlignment="1">
      <alignment horizontal="lef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/>
    </xf>
    <xf numFmtId="0" fontId="24" fillId="0" borderId="16" xfId="54" applyFont="1" applyFill="1" applyBorder="1" applyAlignment="1">
      <alignment horizontal="left" vertical="center" wrapText="1"/>
      <protection/>
    </xf>
    <xf numFmtId="0" fontId="40" fillId="0" borderId="13" xfId="0" applyFont="1" applyFill="1" applyBorder="1" applyAlignment="1">
      <alignment horizontal="left" vertical="center" wrapText="1"/>
    </xf>
    <xf numFmtId="0" fontId="24" fillId="0" borderId="13" xfId="54" applyFont="1" applyFill="1" applyBorder="1" applyAlignment="1">
      <alignment horizontal="left" vertical="center" wrapText="1"/>
      <protection/>
    </xf>
    <xf numFmtId="0" fontId="24" fillId="0" borderId="14" xfId="54" applyFont="1" applyFill="1" applyBorder="1" applyAlignment="1">
      <alignment horizontal="left" vertical="center" wrapText="1"/>
      <protection/>
    </xf>
    <xf numFmtId="0" fontId="40" fillId="0" borderId="15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/>
    </xf>
    <xf numFmtId="49" fontId="24" fillId="0" borderId="13" xfId="52" applyNumberFormat="1" applyFont="1" applyFill="1" applyBorder="1" applyAlignment="1">
      <alignment horizontal="left" vertical="center" wrapText="1"/>
      <protection/>
    </xf>
    <xf numFmtId="4" fontId="3" fillId="0" borderId="13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4" fontId="13" fillId="0" borderId="12" xfId="0" applyNumberFormat="1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4" fontId="13" fillId="0" borderId="13" xfId="0" applyNumberFormat="1" applyFont="1" applyFill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4" fontId="0" fillId="0" borderId="0" xfId="0" applyNumberForma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5" fillId="0" borderId="11" xfId="52" applyNumberFormat="1" applyFont="1" applyFill="1" applyBorder="1" applyAlignment="1">
      <alignment horizontal="right" vertical="top"/>
      <protection/>
    </xf>
    <xf numFmtId="4" fontId="3" fillId="0" borderId="13" xfId="52" applyNumberFormat="1" applyFont="1" applyFill="1" applyBorder="1" applyAlignment="1">
      <alignment horizontal="right" vertical="center" wrapText="1"/>
      <protection/>
    </xf>
    <xf numFmtId="4" fontId="3" fillId="0" borderId="0" xfId="0" applyNumberFormat="1" applyFont="1" applyFill="1" applyBorder="1" applyAlignment="1">
      <alignment/>
    </xf>
    <xf numFmtId="0" fontId="22" fillId="0" borderId="21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wrapText="1"/>
    </xf>
    <xf numFmtId="0" fontId="24" fillId="0" borderId="21" xfId="52" applyFont="1" applyFill="1" applyBorder="1" applyAlignment="1">
      <alignment vertical="center" wrapText="1"/>
      <protection/>
    </xf>
    <xf numFmtId="0" fontId="50" fillId="0" borderId="0" xfId="52" applyFont="1" applyFill="1" applyAlignment="1">
      <alignment horizontal="left"/>
      <protection/>
    </xf>
    <xf numFmtId="0" fontId="33" fillId="0" borderId="0" xfId="0" applyFont="1" applyFill="1" applyAlignment="1">
      <alignment/>
    </xf>
    <xf numFmtId="0" fontId="50" fillId="0" borderId="0" xfId="58" applyFont="1" applyFill="1" applyAlignment="1">
      <alignment horizontal="left"/>
      <protection/>
    </xf>
    <xf numFmtId="0" fontId="3" fillId="0" borderId="0" xfId="58" applyFont="1" applyFill="1" applyAlignment="1">
      <alignment horizontal="left"/>
      <protection/>
    </xf>
    <xf numFmtId="4" fontId="43" fillId="0" borderId="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39" fillId="0" borderId="22" xfId="52" applyFont="1" applyFill="1" applyBorder="1" applyAlignment="1">
      <alignment vertical="center" wrapText="1"/>
      <protection/>
    </xf>
    <xf numFmtId="0" fontId="9" fillId="0" borderId="0" xfId="57" applyFont="1" applyFill="1">
      <alignment/>
      <protection/>
    </xf>
    <xf numFmtId="0" fontId="9" fillId="0" borderId="0" xfId="0" applyFont="1" applyFill="1" applyBorder="1" applyAlignment="1">
      <alignment/>
    </xf>
    <xf numFmtId="0" fontId="9" fillId="0" borderId="0" xfId="57" applyFont="1" applyFill="1" applyBorder="1">
      <alignment/>
      <protection/>
    </xf>
    <xf numFmtId="0" fontId="24" fillId="0" borderId="0" xfId="57" applyFont="1" applyFill="1">
      <alignment/>
      <protection/>
    </xf>
    <xf numFmtId="4" fontId="2" fillId="0" borderId="0" xfId="57" applyNumberFormat="1" applyFont="1" applyFill="1">
      <alignment/>
      <protection/>
    </xf>
    <xf numFmtId="0" fontId="51" fillId="0" borderId="0" xfId="53" applyFont="1" applyFill="1">
      <alignment/>
      <protection/>
    </xf>
    <xf numFmtId="0" fontId="9" fillId="0" borderId="0" xfId="57" applyFont="1" applyFill="1" applyAlignment="1">
      <alignment horizontal="center"/>
      <protection/>
    </xf>
    <xf numFmtId="0" fontId="9" fillId="0" borderId="0" xfId="53" applyFont="1" applyFill="1" applyBorder="1">
      <alignment/>
      <protection/>
    </xf>
    <xf numFmtId="0" fontId="24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2" fillId="0" borderId="0" xfId="53" applyFont="1" applyFill="1" applyAlignment="1">
      <alignment horizontal="center"/>
      <protection/>
    </xf>
    <xf numFmtId="0" fontId="9" fillId="0" borderId="14" xfId="57" applyFont="1" applyFill="1" applyBorder="1" applyAlignment="1">
      <alignment horizontal="center"/>
      <protection/>
    </xf>
    <xf numFmtId="0" fontId="9" fillId="0" borderId="14" xfId="53" applyFont="1" applyFill="1" applyBorder="1">
      <alignment/>
      <protection/>
    </xf>
    <xf numFmtId="0" fontId="9" fillId="0" borderId="14" xfId="53" applyFont="1" applyFill="1" applyBorder="1" applyAlignment="1">
      <alignment horizontal="center"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1" xfId="53" applyFont="1" applyFill="1" applyBorder="1" applyAlignment="1">
      <alignment vertical="center"/>
      <protection/>
    </xf>
    <xf numFmtId="4" fontId="9" fillId="0" borderId="0" xfId="53" applyNumberFormat="1" applyFont="1" applyFill="1" applyBorder="1">
      <alignment/>
      <protection/>
    </xf>
    <xf numFmtId="0" fontId="9" fillId="0" borderId="12" xfId="57" applyFont="1" applyFill="1" applyBorder="1" applyAlignment="1">
      <alignment horizontal="center" vertical="top"/>
      <protection/>
    </xf>
    <xf numFmtId="0" fontId="3" fillId="0" borderId="12" xfId="53" applyFont="1" applyFill="1" applyBorder="1" applyAlignment="1">
      <alignment horizontal="center" vertical="top" wrapText="1"/>
      <protection/>
    </xf>
    <xf numFmtId="0" fontId="35" fillId="0" borderId="12" xfId="53" applyFont="1" applyFill="1" applyBorder="1" applyAlignment="1">
      <alignment horizontal="center" vertical="top" wrapText="1"/>
      <protection/>
    </xf>
    <xf numFmtId="0" fontId="35" fillId="0" borderId="13" xfId="53" applyFont="1" applyFill="1" applyBorder="1" applyAlignment="1">
      <alignment horizontal="center" vertical="top" wrapText="1"/>
      <protection/>
    </xf>
    <xf numFmtId="0" fontId="35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top" wrapText="1"/>
      <protection/>
    </xf>
    <xf numFmtId="4" fontId="21" fillId="0" borderId="0" xfId="53" applyNumberFormat="1" applyFont="1" applyFill="1" applyBorder="1" applyAlignment="1">
      <alignment horizontal="right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4" fontId="24" fillId="0" borderId="0" xfId="53" applyNumberFormat="1" applyFont="1" applyFill="1" applyAlignment="1">
      <alignment horizontal="center" vertical="center" wrapText="1"/>
      <protection/>
    </xf>
    <xf numFmtId="4" fontId="2" fillId="0" borderId="0" xfId="57" applyNumberFormat="1" applyFont="1" applyFill="1" applyAlignment="1">
      <alignment vertical="top"/>
      <protection/>
    </xf>
    <xf numFmtId="4" fontId="2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38" fillId="0" borderId="10" xfId="57" applyFont="1" applyFill="1" applyBorder="1" applyAlignment="1">
      <alignment horizontal="left" vertical="top"/>
      <protection/>
    </xf>
    <xf numFmtId="0" fontId="9" fillId="0" borderId="23" xfId="53" applyFont="1" applyFill="1" applyBorder="1" applyAlignment="1">
      <alignment horizontal="center" vertical="top" wrapText="1"/>
      <protection/>
    </xf>
    <xf numFmtId="0" fontId="35" fillId="0" borderId="23" xfId="53" applyFont="1" applyFill="1" applyBorder="1" applyAlignment="1">
      <alignment horizontal="center" vertical="top" wrapText="1"/>
      <protection/>
    </xf>
    <xf numFmtId="4" fontId="5" fillId="0" borderId="13" xfId="53" applyNumberFormat="1" applyFont="1" applyFill="1" applyBorder="1" applyAlignment="1">
      <alignment horizontal="right" vertical="center" wrapText="1"/>
      <protection/>
    </xf>
    <xf numFmtId="0" fontId="12" fillId="0" borderId="14" xfId="57" applyFont="1" applyFill="1" applyBorder="1" applyAlignment="1">
      <alignment horizontal="center" vertical="center"/>
      <protection/>
    </xf>
    <xf numFmtId="0" fontId="12" fillId="0" borderId="11" xfId="53" applyFont="1" applyFill="1" applyBorder="1" applyAlignment="1">
      <alignment vertical="center" wrapText="1"/>
      <protection/>
    </xf>
    <xf numFmtId="4" fontId="9" fillId="0" borderId="0" xfId="57" applyNumberFormat="1" applyFont="1" applyFill="1" applyBorder="1" applyAlignment="1">
      <alignment vertical="center" wrapText="1"/>
      <protection/>
    </xf>
    <xf numFmtId="0" fontId="35" fillId="0" borderId="19" xfId="0" applyFont="1" applyFill="1" applyBorder="1" applyAlignment="1">
      <alignment vertical="center"/>
    </xf>
    <xf numFmtId="4" fontId="3" fillId="0" borderId="19" xfId="53" applyNumberFormat="1" applyFont="1" applyFill="1" applyBorder="1" applyAlignment="1">
      <alignment horizontal="center" vertical="center" wrapText="1"/>
      <protection/>
    </xf>
    <xf numFmtId="4" fontId="3" fillId="0" borderId="14" xfId="53" applyNumberFormat="1" applyFont="1" applyFill="1" applyBorder="1" applyAlignment="1">
      <alignment horizontal="center" vertical="center" wrapText="1"/>
      <protection/>
    </xf>
    <xf numFmtId="4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>
      <alignment vertical="center"/>
    </xf>
    <xf numFmtId="4" fontId="9" fillId="0" borderId="0" xfId="53" applyNumberFormat="1" applyFont="1" applyFill="1" applyAlignment="1">
      <alignment horizontal="center" vertical="center" wrapText="1"/>
      <protection/>
    </xf>
    <xf numFmtId="0" fontId="9" fillId="0" borderId="0" xfId="57" applyFont="1" applyFill="1" applyAlignment="1">
      <alignment vertical="center"/>
      <protection/>
    </xf>
    <xf numFmtId="0" fontId="9" fillId="0" borderId="15" xfId="57" applyFont="1" applyFill="1" applyBorder="1" applyAlignment="1">
      <alignment horizontal="center" vertical="center"/>
      <protection/>
    </xf>
    <xf numFmtId="0" fontId="9" fillId="0" borderId="23" xfId="0" applyFont="1" applyFill="1" applyBorder="1" applyAlignment="1">
      <alignment vertical="center" wrapText="1"/>
    </xf>
    <xf numFmtId="4" fontId="9" fillId="0" borderId="19" xfId="57" applyNumberFormat="1" applyFont="1" applyFill="1" applyBorder="1" applyAlignment="1">
      <alignment vertical="center"/>
      <protection/>
    </xf>
    <xf numFmtId="0" fontId="35" fillId="0" borderId="20" xfId="0" applyFont="1" applyFill="1" applyBorder="1" applyAlignment="1">
      <alignment vertical="center"/>
    </xf>
    <xf numFmtId="4" fontId="3" fillId="0" borderId="20" xfId="53" applyNumberFormat="1" applyFont="1" applyFill="1" applyBorder="1" applyAlignment="1">
      <alignment horizontal="center" vertical="center" wrapText="1"/>
      <protection/>
    </xf>
    <xf numFmtId="4" fontId="3" fillId="0" borderId="15" xfId="53" applyNumberFormat="1" applyFont="1" applyFill="1" applyBorder="1" applyAlignment="1">
      <alignment horizontal="center" vertical="center" wrapText="1"/>
      <protection/>
    </xf>
    <xf numFmtId="4" fontId="40" fillId="0" borderId="0" xfId="0" applyNumberFormat="1" applyFont="1" applyFill="1" applyBorder="1" applyAlignment="1">
      <alignment vertical="center"/>
    </xf>
    <xf numFmtId="0" fontId="9" fillId="0" borderId="12" xfId="57" applyFont="1" applyFill="1" applyBorder="1" applyAlignment="1">
      <alignment horizontal="center" vertical="center"/>
      <protection/>
    </xf>
    <xf numFmtId="4" fontId="9" fillId="0" borderId="21" xfId="57" applyNumberFormat="1" applyFont="1" applyFill="1" applyBorder="1" applyAlignment="1">
      <alignment vertical="center"/>
      <protection/>
    </xf>
    <xf numFmtId="0" fontId="35" fillId="0" borderId="21" xfId="0" applyFont="1" applyFill="1" applyBorder="1" applyAlignment="1">
      <alignment vertical="center"/>
    </xf>
    <xf numFmtId="4" fontId="3" fillId="0" borderId="21" xfId="53" applyNumberFormat="1" applyFont="1" applyFill="1" applyBorder="1" applyAlignment="1">
      <alignment horizontal="center" vertical="center" wrapText="1"/>
      <protection/>
    </xf>
    <xf numFmtId="4" fontId="3" fillId="0" borderId="12" xfId="53" applyNumberFormat="1" applyFont="1" applyFill="1" applyBorder="1" applyAlignment="1">
      <alignment horizontal="center" vertical="center" wrapText="1"/>
      <protection/>
    </xf>
    <xf numFmtId="0" fontId="9" fillId="0" borderId="19" xfId="53" applyFont="1" applyFill="1" applyBorder="1" applyAlignment="1">
      <alignment vertical="center" wrapText="1"/>
      <protection/>
    </xf>
    <xf numFmtId="4" fontId="11" fillId="0" borderId="0" xfId="0" applyNumberFormat="1" applyFont="1" applyFill="1" applyBorder="1" applyAlignment="1">
      <alignment vertical="center"/>
    </xf>
    <xf numFmtId="0" fontId="9" fillId="0" borderId="23" xfId="57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4" fontId="9" fillId="0" borderId="13" xfId="57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Border="1" applyAlignment="1">
      <alignment vertical="center"/>
    </xf>
    <xf numFmtId="4" fontId="9" fillId="0" borderId="20" xfId="57" applyNumberFormat="1" applyFont="1" applyFill="1" applyBorder="1" applyAlignment="1">
      <alignment vertical="center"/>
      <protection/>
    </xf>
    <xf numFmtId="4" fontId="9" fillId="0" borderId="10" xfId="57" applyNumberFormat="1" applyFont="1" applyFill="1" applyBorder="1" applyAlignment="1">
      <alignment vertical="center" wrapText="1"/>
      <protection/>
    </xf>
    <xf numFmtId="4" fontId="24" fillId="0" borderId="0" xfId="0" applyNumberFormat="1" applyFont="1" applyFill="1" applyAlignment="1">
      <alignment/>
    </xf>
    <xf numFmtId="0" fontId="9" fillId="0" borderId="24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4" fontId="52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" fontId="3" fillId="0" borderId="11" xfId="52" applyNumberFormat="1" applyFont="1" applyFill="1" applyBorder="1" applyAlignment="1">
      <alignment horizontal="right" vertical="top"/>
      <protection/>
    </xf>
    <xf numFmtId="0" fontId="35" fillId="0" borderId="14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 wrapText="1"/>
    </xf>
    <xf numFmtId="4" fontId="3" fillId="0" borderId="16" xfId="53" applyNumberFormat="1" applyFont="1" applyFill="1" applyBorder="1" applyAlignment="1">
      <alignment horizontal="center" vertical="center" wrapText="1"/>
      <protection/>
    </xf>
    <xf numFmtId="4" fontId="3" fillId="0" borderId="17" xfId="53" applyNumberFormat="1" applyFont="1" applyFill="1" applyBorder="1" applyAlignment="1">
      <alignment horizontal="center" vertical="center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35" fillId="0" borderId="17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" fontId="9" fillId="0" borderId="14" xfId="57" applyNumberFormat="1" applyFont="1" applyFill="1" applyBorder="1" applyAlignment="1">
      <alignment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4" fontId="5" fillId="0" borderId="13" xfId="52" applyNumberFormat="1" applyFont="1" applyFill="1" applyBorder="1" applyAlignment="1">
      <alignment horizontal="right" vertical="center" wrapText="1"/>
      <protection/>
    </xf>
    <xf numFmtId="0" fontId="9" fillId="0" borderId="0" xfId="52" applyFont="1" applyFill="1" applyAlignment="1">
      <alignment horizontal="center"/>
      <protection/>
    </xf>
    <xf numFmtId="0" fontId="33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" fontId="9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4" fontId="5" fillId="0" borderId="13" xfId="52" applyNumberFormat="1" applyFont="1" applyFill="1" applyBorder="1" applyAlignment="1">
      <alignment horizontal="right" vertical="center"/>
      <protection/>
    </xf>
    <xf numFmtId="4" fontId="2" fillId="0" borderId="0" xfId="52" applyNumberFormat="1" applyFont="1" applyFill="1" applyAlignment="1">
      <alignment vertical="center"/>
      <protection/>
    </xf>
    <xf numFmtId="0" fontId="24" fillId="0" borderId="14" xfId="0" applyFont="1" applyFill="1" applyBorder="1" applyAlignment="1">
      <alignment vertical="center" wrapText="1"/>
    </xf>
    <xf numFmtId="0" fontId="24" fillId="0" borderId="22" xfId="52" applyFont="1" applyFill="1" applyBorder="1" applyAlignment="1">
      <alignment vertical="center" wrapText="1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4" fontId="40" fillId="0" borderId="13" xfId="52" applyNumberFormat="1" applyFont="1" applyFill="1" applyBorder="1" applyAlignment="1">
      <alignment vertical="center"/>
      <protection/>
    </xf>
    <xf numFmtId="49" fontId="31" fillId="0" borderId="0" xfId="52" applyNumberFormat="1" applyFont="1" applyFill="1">
      <alignment/>
      <protection/>
    </xf>
    <xf numFmtId="4" fontId="9" fillId="0" borderId="12" xfId="57" applyNumberFormat="1" applyFont="1" applyFill="1" applyBorder="1" applyAlignment="1">
      <alignment vertical="center"/>
      <protection/>
    </xf>
    <xf numFmtId="0" fontId="35" fillId="0" borderId="18" xfId="0" applyFont="1" applyFill="1" applyBorder="1" applyAlignment="1">
      <alignment vertical="center"/>
    </xf>
    <xf numFmtId="4" fontId="3" fillId="0" borderId="18" xfId="53" applyNumberFormat="1" applyFont="1" applyFill="1" applyBorder="1" applyAlignment="1">
      <alignment horizontal="center" vertical="center" wrapText="1"/>
      <protection/>
    </xf>
    <xf numFmtId="0" fontId="24" fillId="0" borderId="17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37" fillId="0" borderId="0" xfId="0" applyNumberFormat="1" applyFont="1" applyFill="1" applyAlignment="1">
      <alignment/>
    </xf>
    <xf numFmtId="4" fontId="3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39" fillId="0" borderId="10" xfId="0" applyNumberFormat="1" applyFont="1" applyFill="1" applyBorder="1" applyAlignment="1">
      <alignment vertical="center"/>
    </xf>
    <xf numFmtId="49" fontId="5" fillId="0" borderId="10" xfId="52" applyNumberFormat="1" applyFont="1" applyFill="1" applyBorder="1" applyAlignment="1">
      <alignment vertical="center"/>
      <protection/>
    </xf>
    <xf numFmtId="49" fontId="3" fillId="0" borderId="23" xfId="52" applyNumberFormat="1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vertical="center"/>
    </xf>
    <xf numFmtId="49" fontId="3" fillId="0" borderId="0" xfId="52" applyNumberFormat="1" applyFont="1" applyFill="1" applyBorder="1" applyAlignment="1">
      <alignment horizontal="left" vertical="center"/>
      <protection/>
    </xf>
    <xf numFmtId="4" fontId="3" fillId="0" borderId="0" xfId="52" applyNumberFormat="1" applyFont="1" applyFill="1" applyBorder="1" applyAlignment="1">
      <alignment horizontal="right" vertical="center"/>
      <protection/>
    </xf>
    <xf numFmtId="49" fontId="3" fillId="0" borderId="18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4" fontId="24" fillId="0" borderId="23" xfId="52" applyNumberFormat="1" applyFont="1" applyFill="1" applyBorder="1" applyAlignment="1">
      <alignment vertical="center"/>
      <protection/>
    </xf>
    <xf numFmtId="4" fontId="3" fillId="0" borderId="16" xfId="0" applyNumberFormat="1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0" xfId="52" applyNumberFormat="1" applyFont="1" applyFill="1" applyBorder="1" applyAlignment="1">
      <alignment horizontal="center" vertical="center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" fontId="3" fillId="0" borderId="13" xfId="52" applyNumberFormat="1" applyFont="1" applyFill="1" applyBorder="1" applyAlignment="1">
      <alignment horizontal="right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" fontId="3" fillId="0" borderId="14" xfId="52" applyNumberFormat="1" applyFont="1" applyFill="1" applyBorder="1" applyAlignment="1">
      <alignment horizontal="right" vertical="center"/>
      <protection/>
    </xf>
    <xf numFmtId="0" fontId="4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3" fillId="7" borderId="21" xfId="53" applyNumberFormat="1" applyFont="1" applyFill="1" applyBorder="1" applyAlignment="1">
      <alignment horizontal="center" vertical="center" wrapText="1"/>
      <protection/>
    </xf>
    <xf numFmtId="4" fontId="3" fillId="7" borderId="12" xfId="53" applyNumberFormat="1" applyFont="1" applyFill="1" applyBorder="1" applyAlignment="1">
      <alignment horizontal="center" vertical="center" wrapText="1"/>
      <protection/>
    </xf>
    <xf numFmtId="4" fontId="3" fillId="7" borderId="13" xfId="0" applyNumberFormat="1" applyFont="1" applyFill="1" applyBorder="1" applyAlignment="1">
      <alignment vertical="center"/>
    </xf>
    <xf numFmtId="4" fontId="3" fillId="7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5" fillId="0" borderId="0" xfId="52" applyNumberFormat="1" applyFont="1" applyFill="1" applyBorder="1" applyAlignment="1">
      <alignment horizontal="center" vertical="center"/>
      <protection/>
    </xf>
    <xf numFmtId="4" fontId="17" fillId="0" borderId="0" xfId="52" applyNumberFormat="1" applyFont="1" applyFill="1" applyBorder="1" applyAlignment="1">
      <alignment vertical="center"/>
      <protection/>
    </xf>
    <xf numFmtId="4" fontId="15" fillId="0" borderId="0" xfId="52" applyNumberFormat="1" applyFont="1" applyFill="1" applyBorder="1" applyAlignment="1">
      <alignment vertical="center"/>
      <protection/>
    </xf>
    <xf numFmtId="4" fontId="24" fillId="7" borderId="10" xfId="0" applyNumberFormat="1" applyFont="1" applyFill="1" applyBorder="1" applyAlignment="1">
      <alignment vertical="center" wrapText="1"/>
    </xf>
    <xf numFmtId="4" fontId="24" fillId="7" borderId="23" xfId="0" applyNumberFormat="1" applyFont="1" applyFill="1" applyBorder="1" applyAlignment="1">
      <alignment vertical="center" wrapText="1"/>
    </xf>
    <xf numFmtId="4" fontId="24" fillId="7" borderId="10" xfId="0" applyNumberFormat="1" applyFont="1" applyFill="1" applyBorder="1" applyAlignment="1">
      <alignment vertical="center"/>
    </xf>
    <xf numFmtId="0" fontId="24" fillId="7" borderId="23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vertical="center" wrapText="1"/>
    </xf>
    <xf numFmtId="4" fontId="24" fillId="7" borderId="13" xfId="0" applyNumberFormat="1" applyFont="1" applyFill="1" applyBorder="1" applyAlignment="1">
      <alignment vertical="center" wrapText="1"/>
    </xf>
    <xf numFmtId="4" fontId="24" fillId="7" borderId="10" xfId="0" applyNumberFormat="1" applyFont="1" applyFill="1" applyBorder="1" applyAlignment="1">
      <alignment vertical="center" wrapText="1"/>
    </xf>
    <xf numFmtId="4" fontId="24" fillId="7" borderId="10" xfId="52" applyNumberFormat="1" applyFont="1" applyFill="1" applyBorder="1" applyAlignment="1">
      <alignment vertical="center"/>
      <protection/>
    </xf>
    <xf numFmtId="4" fontId="3" fillId="7" borderId="21" xfId="53" applyNumberFormat="1" applyFont="1" applyFill="1" applyBorder="1" applyAlignment="1">
      <alignment horizontal="center" vertical="center" wrapText="1"/>
      <protection/>
    </xf>
    <xf numFmtId="4" fontId="3" fillId="7" borderId="12" xfId="53" applyNumberFormat="1" applyFont="1" applyFill="1" applyBorder="1" applyAlignment="1">
      <alignment horizontal="center" vertical="center" wrapText="1"/>
      <protection/>
    </xf>
    <xf numFmtId="4" fontId="3" fillId="7" borderId="12" xfId="53" applyNumberFormat="1" applyFont="1" applyFill="1" applyBorder="1" applyAlignment="1">
      <alignment horizontal="right" vertical="center" wrapText="1"/>
      <protection/>
    </xf>
    <xf numFmtId="0" fontId="24" fillId="0" borderId="14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4" xfId="52" applyFont="1" applyFill="1" applyBorder="1" applyAlignment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4" fontId="3" fillId="0" borderId="0" xfId="53" applyNumberFormat="1" applyFont="1" applyFill="1" applyBorder="1">
      <alignment/>
      <protection/>
    </xf>
    <xf numFmtId="4" fontId="5" fillId="0" borderId="0" xfId="53" applyNumberFormat="1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5" xfId="52"/>
    <cellStyle name="Normalny_Arkusz8" xfId="53"/>
    <cellStyle name="Normalny_tabela nr 8" xfId="54"/>
    <cellStyle name="Normalny_Uch.RMK luty" xfId="55"/>
    <cellStyle name="Normalny_Uch.RMK marzec" xfId="56"/>
    <cellStyle name="Normalny_Zał. nr 3A" xfId="57"/>
    <cellStyle name="Normalny_ZPMK luty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74"/>
  <sheetViews>
    <sheetView tabSelected="1" zoomScale="130" zoomScaleNormal="130" zoomScalePageLayoutView="0" workbookViewId="0" topLeftCell="A1">
      <selection activeCell="H9" sqref="H9"/>
    </sheetView>
  </sheetViews>
  <sheetFormatPr defaultColWidth="9.140625" defaultRowHeight="12.75"/>
  <cols>
    <col min="1" max="1" width="6.28125" style="2" customWidth="1"/>
    <col min="2" max="2" width="7.140625" style="2" customWidth="1"/>
    <col min="3" max="3" width="6.421875" style="590" customWidth="1"/>
    <col min="4" max="4" width="15.28125" style="2" customWidth="1"/>
    <col min="5" max="6" width="15.57421875" style="2" customWidth="1"/>
    <col min="7" max="7" width="15.140625" style="2" customWidth="1"/>
    <col min="8" max="8" width="21.57421875" style="24" customWidth="1"/>
    <col min="9" max="9" width="21.00390625" style="506" customWidth="1"/>
    <col min="10" max="10" width="21.8515625" style="506" customWidth="1"/>
    <col min="11" max="11" width="17.140625" style="599" customWidth="1"/>
    <col min="12" max="12" width="18.28125" style="506" customWidth="1"/>
    <col min="13" max="13" width="16.57421875" style="506" customWidth="1"/>
    <col min="14" max="14" width="9.140625" style="506" customWidth="1"/>
    <col min="15" max="15" width="16.140625" style="506" bestFit="1" customWidth="1"/>
    <col min="16" max="47" width="9.140625" style="506" customWidth="1"/>
    <col min="48" max="16384" width="9.140625" style="2" customWidth="1"/>
  </cols>
  <sheetData>
    <row r="1" spans="1:47" s="34" customFormat="1" ht="18.75" customHeight="1">
      <c r="A1" s="45" t="s">
        <v>410</v>
      </c>
      <c r="B1" s="46"/>
      <c r="C1" s="47"/>
      <c r="D1" s="5"/>
      <c r="E1" s="5"/>
      <c r="F1" s="5"/>
      <c r="G1" s="169" t="s">
        <v>536</v>
      </c>
      <c r="H1" s="161"/>
      <c r="I1" s="598"/>
      <c r="J1" s="598"/>
      <c r="K1" s="598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  <c r="AQ1" s="334"/>
      <c r="AR1" s="334"/>
      <c r="AS1" s="334"/>
      <c r="AT1" s="334"/>
      <c r="AU1" s="334"/>
    </row>
    <row r="2" spans="1:47" s="34" customFormat="1" ht="18.75" customHeight="1">
      <c r="A2" s="45" t="s">
        <v>19</v>
      </c>
      <c r="B2" s="46"/>
      <c r="C2" s="47"/>
      <c r="D2" s="5"/>
      <c r="E2" s="5"/>
      <c r="F2" s="5"/>
      <c r="G2" s="40"/>
      <c r="H2" s="174" t="s">
        <v>279</v>
      </c>
      <c r="I2" s="598"/>
      <c r="J2" s="598"/>
      <c r="K2" s="598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334"/>
    </row>
    <row r="3" spans="1:47" s="34" customFormat="1" ht="18" customHeight="1">
      <c r="A3" s="45" t="s">
        <v>411</v>
      </c>
      <c r="B3" s="46"/>
      <c r="C3" s="47"/>
      <c r="D3" s="5"/>
      <c r="E3" s="5"/>
      <c r="F3" s="5"/>
      <c r="G3" s="40"/>
      <c r="H3" s="42"/>
      <c r="I3" s="598"/>
      <c r="J3" s="598"/>
      <c r="K3" s="598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</row>
    <row r="4" spans="1:47" s="34" customFormat="1" ht="12.75" customHeight="1">
      <c r="A4" s="39"/>
      <c r="B4" s="40"/>
      <c r="C4" s="41"/>
      <c r="D4" s="40"/>
      <c r="E4" s="40"/>
      <c r="F4" s="40"/>
      <c r="G4" s="40"/>
      <c r="H4" s="42"/>
      <c r="I4" s="598"/>
      <c r="J4" s="598"/>
      <c r="K4" s="598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</row>
    <row r="5" spans="1:10" ht="12.75" customHeight="1">
      <c r="A5" s="23"/>
      <c r="B5" s="5"/>
      <c r="C5" s="6"/>
      <c r="D5" s="5"/>
      <c r="E5" s="5"/>
      <c r="F5" s="5"/>
      <c r="G5" s="5"/>
      <c r="H5" s="7"/>
      <c r="I5" s="599"/>
      <c r="J5" s="599"/>
    </row>
    <row r="6" spans="1:10" ht="14.25" customHeight="1">
      <c r="A6" s="23" t="s">
        <v>59</v>
      </c>
      <c r="B6" s="5"/>
      <c r="C6" s="6"/>
      <c r="D6" s="5"/>
      <c r="E6" s="5"/>
      <c r="F6" s="5"/>
      <c r="G6" s="5"/>
      <c r="H6" s="7"/>
      <c r="I6" s="599"/>
      <c r="J6" s="599"/>
    </row>
    <row r="7" spans="1:10" ht="15" customHeight="1">
      <c r="A7" s="23"/>
      <c r="B7" s="5"/>
      <c r="C7" s="6"/>
      <c r="D7" s="5"/>
      <c r="E7" s="5"/>
      <c r="F7" s="5"/>
      <c r="G7" s="5"/>
      <c r="H7" s="7"/>
      <c r="I7" s="599"/>
      <c r="J7" s="599"/>
    </row>
    <row r="8" spans="1:10" ht="18" customHeight="1">
      <c r="A8" s="5"/>
      <c r="B8" s="5"/>
      <c r="C8" s="6"/>
      <c r="D8" s="5"/>
      <c r="E8" s="5"/>
      <c r="F8" s="5"/>
      <c r="G8" s="5"/>
      <c r="H8" s="7"/>
      <c r="I8" s="599"/>
      <c r="J8" s="599"/>
    </row>
    <row r="9" spans="1:10" ht="16.5" customHeight="1">
      <c r="A9" s="48" t="s">
        <v>20</v>
      </c>
      <c r="B9" s="46"/>
      <c r="C9" s="47"/>
      <c r="D9" s="5"/>
      <c r="E9" s="5"/>
      <c r="F9" s="5"/>
      <c r="G9" s="5"/>
      <c r="H9" s="7"/>
      <c r="I9" s="599"/>
      <c r="J9" s="599"/>
    </row>
    <row r="10" spans="1:10" ht="14.25" customHeight="1">
      <c r="A10" s="48" t="s">
        <v>386</v>
      </c>
      <c r="B10" s="46"/>
      <c r="C10" s="47"/>
      <c r="D10" s="5"/>
      <c r="E10" s="5"/>
      <c r="F10" s="5"/>
      <c r="G10" s="5"/>
      <c r="H10" s="7"/>
      <c r="I10" s="599"/>
      <c r="J10" s="599"/>
    </row>
    <row r="11" spans="1:10" ht="16.5" customHeight="1">
      <c r="A11" s="48" t="s">
        <v>58</v>
      </c>
      <c r="B11" s="46"/>
      <c r="C11" s="47"/>
      <c r="D11" s="5"/>
      <c r="E11" s="5"/>
      <c r="F11" s="5"/>
      <c r="G11" s="5"/>
      <c r="H11" s="7"/>
      <c r="I11" s="599"/>
      <c r="J11" s="599"/>
    </row>
    <row r="12" spans="1:10" ht="14.25" customHeight="1">
      <c r="A12" s="48"/>
      <c r="B12" s="46"/>
      <c r="C12" s="47"/>
      <c r="D12" s="5"/>
      <c r="E12" s="5"/>
      <c r="F12" s="5"/>
      <c r="G12" s="5"/>
      <c r="H12" s="7"/>
      <c r="I12" s="599"/>
      <c r="J12" s="599"/>
    </row>
    <row r="13" spans="1:10" ht="15" customHeight="1">
      <c r="A13" s="38"/>
      <c r="B13" s="31"/>
      <c r="C13" s="586"/>
      <c r="D13" s="16"/>
      <c r="E13" s="5"/>
      <c r="F13" s="5"/>
      <c r="G13" s="5"/>
      <c r="H13" s="7"/>
      <c r="I13" s="599"/>
      <c r="J13" s="599"/>
    </row>
    <row r="14" spans="1:47" s="28" customFormat="1" ht="15.75">
      <c r="A14" s="8"/>
      <c r="B14" s="8"/>
      <c r="C14" s="30"/>
      <c r="D14" s="8"/>
      <c r="E14" s="30" t="s">
        <v>6</v>
      </c>
      <c r="F14" s="8"/>
      <c r="G14" s="8"/>
      <c r="H14" s="9"/>
      <c r="I14" s="488"/>
      <c r="J14" s="488"/>
      <c r="K14" s="488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</row>
    <row r="15" spans="1:47" s="28" customFormat="1" ht="15.75">
      <c r="A15" s="8"/>
      <c r="B15" s="8"/>
      <c r="C15" s="30"/>
      <c r="D15" s="8"/>
      <c r="E15" s="30"/>
      <c r="F15" s="8"/>
      <c r="G15" s="8"/>
      <c r="H15" s="9"/>
      <c r="I15" s="488"/>
      <c r="J15" s="488"/>
      <c r="K15" s="488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</row>
    <row r="16" spans="1:47" s="28" customFormat="1" ht="15.75">
      <c r="A16" s="492" t="s">
        <v>60</v>
      </c>
      <c r="B16" s="493"/>
      <c r="C16" s="587"/>
      <c r="D16" s="493"/>
      <c r="E16" s="30"/>
      <c r="F16" s="8"/>
      <c r="G16" s="8"/>
      <c r="H16" s="9"/>
      <c r="I16" s="488"/>
      <c r="J16" s="488"/>
      <c r="K16" s="488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</row>
    <row r="17" spans="1:47" s="28" customFormat="1" ht="15.75">
      <c r="A17" s="494" t="s">
        <v>62</v>
      </c>
      <c r="B17" s="493"/>
      <c r="C17" s="587"/>
      <c r="D17" s="493"/>
      <c r="E17" s="30"/>
      <c r="F17" s="8"/>
      <c r="G17" s="8"/>
      <c r="H17" s="9"/>
      <c r="I17" s="488"/>
      <c r="J17" s="682"/>
      <c r="K17" s="488"/>
      <c r="L17" s="485"/>
      <c r="M17" s="485"/>
      <c r="N17" s="485"/>
      <c r="O17" s="488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</row>
    <row r="18" spans="1:47" s="28" customFormat="1" ht="15.75">
      <c r="A18" s="495" t="s">
        <v>63</v>
      </c>
      <c r="B18" s="8"/>
      <c r="C18" s="183"/>
      <c r="D18" s="8"/>
      <c r="E18" s="30"/>
      <c r="F18" s="8"/>
      <c r="G18" s="8"/>
      <c r="H18" s="9"/>
      <c r="I18" s="488"/>
      <c r="J18" s="682"/>
      <c r="K18" s="488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</row>
    <row r="19" spans="1:47" s="28" customFormat="1" ht="15.75">
      <c r="A19" s="35" t="s">
        <v>72</v>
      </c>
      <c r="B19" s="180"/>
      <c r="C19" s="181"/>
      <c r="D19" s="182"/>
      <c r="E19" s="182"/>
      <c r="F19" s="8"/>
      <c r="G19" s="8"/>
      <c r="H19" s="9"/>
      <c r="I19" s="488"/>
      <c r="J19" s="683"/>
      <c r="K19" s="488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</row>
    <row r="20" spans="1:47" s="28" customFormat="1" ht="15.75">
      <c r="A20" s="184" t="s">
        <v>69</v>
      </c>
      <c r="B20" s="31"/>
      <c r="C20" s="588"/>
      <c r="D20" s="15"/>
      <c r="E20" s="8"/>
      <c r="F20" s="8"/>
      <c r="G20" s="8"/>
      <c r="H20" s="9"/>
      <c r="I20" s="488"/>
      <c r="J20" s="682"/>
      <c r="K20" s="488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</row>
    <row r="21" spans="1:47" s="28" customFormat="1" ht="15.75">
      <c r="A21" s="184" t="s">
        <v>376</v>
      </c>
      <c r="B21" s="31"/>
      <c r="C21" s="588"/>
      <c r="D21" s="15"/>
      <c r="E21" s="8"/>
      <c r="F21" s="8"/>
      <c r="H21" s="1"/>
      <c r="I21" s="488"/>
      <c r="J21" s="682"/>
      <c r="K21" s="488"/>
      <c r="L21" s="488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</row>
    <row r="22" spans="1:47" s="28" customFormat="1" ht="15.75">
      <c r="A22" s="184" t="s">
        <v>377</v>
      </c>
      <c r="B22" s="31"/>
      <c r="C22" s="588"/>
      <c r="D22" s="15"/>
      <c r="E22" s="8"/>
      <c r="F22" s="8"/>
      <c r="H22" s="1"/>
      <c r="I22" s="488"/>
      <c r="J22" s="488"/>
      <c r="K22" s="488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</row>
    <row r="23" spans="1:47" s="28" customFormat="1" ht="15" customHeight="1">
      <c r="A23" s="28" t="s">
        <v>285</v>
      </c>
      <c r="C23" s="589"/>
      <c r="I23" s="488"/>
      <c r="J23" s="684"/>
      <c r="K23" s="488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</row>
    <row r="24" spans="1:47" s="28" customFormat="1" ht="15" customHeight="1">
      <c r="A24" s="28" t="s">
        <v>286</v>
      </c>
      <c r="B24" s="31"/>
      <c r="C24" s="588"/>
      <c r="D24" s="15"/>
      <c r="E24" s="8"/>
      <c r="I24" s="488"/>
      <c r="J24" s="488"/>
      <c r="K24" s="6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</row>
    <row r="25" spans="1:47" s="28" customFormat="1" ht="15" customHeight="1">
      <c r="A25" s="28" t="s">
        <v>287</v>
      </c>
      <c r="C25" s="589"/>
      <c r="I25" s="488"/>
      <c r="J25" s="488"/>
      <c r="K25" s="488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</row>
    <row r="26" spans="1:47" s="28" customFormat="1" ht="15" customHeight="1">
      <c r="A26" s="28" t="s">
        <v>301</v>
      </c>
      <c r="C26" s="589"/>
      <c r="I26" s="488"/>
      <c r="J26" s="488"/>
      <c r="K26" s="488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</row>
    <row r="27" spans="1:47" s="28" customFormat="1" ht="15" customHeight="1">
      <c r="A27" s="28" t="s">
        <v>302</v>
      </c>
      <c r="C27" s="589"/>
      <c r="I27" s="488"/>
      <c r="J27" s="488"/>
      <c r="K27" s="488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</row>
    <row r="28" spans="1:10" ht="15" customHeight="1">
      <c r="A28" s="28" t="s">
        <v>303</v>
      </c>
      <c r="B28" s="28"/>
      <c r="C28" s="589"/>
      <c r="D28" s="28"/>
      <c r="E28" s="28"/>
      <c r="F28" s="28"/>
      <c r="G28" s="28"/>
      <c r="H28" s="28"/>
      <c r="I28" s="599"/>
      <c r="J28" s="599"/>
    </row>
    <row r="29" spans="1:10" ht="15" customHeight="1">
      <c r="A29" s="28" t="s">
        <v>304</v>
      </c>
      <c r="B29" s="28"/>
      <c r="C29" s="589"/>
      <c r="D29" s="28"/>
      <c r="E29" s="28"/>
      <c r="F29" s="28"/>
      <c r="G29" s="28"/>
      <c r="H29" s="28"/>
      <c r="I29" s="599"/>
      <c r="J29" s="599"/>
    </row>
    <row r="30" spans="1:10" ht="15" customHeight="1">
      <c r="A30" s="28" t="s">
        <v>378</v>
      </c>
      <c r="B30" s="28"/>
      <c r="C30" s="589"/>
      <c r="D30" s="28"/>
      <c r="E30" s="28"/>
      <c r="F30" s="28"/>
      <c r="G30" s="28"/>
      <c r="H30" s="28"/>
      <c r="I30" s="599"/>
      <c r="J30" s="599"/>
    </row>
    <row r="31" spans="1:10" ht="15" customHeight="1">
      <c r="A31" s="28" t="s">
        <v>379</v>
      </c>
      <c r="B31" s="28"/>
      <c r="C31" s="589"/>
      <c r="D31" s="28"/>
      <c r="E31" s="28"/>
      <c r="F31" s="28"/>
      <c r="G31" s="28"/>
      <c r="H31" s="28"/>
      <c r="I31" s="599"/>
      <c r="J31" s="599"/>
    </row>
    <row r="32" spans="1:10" ht="15" customHeight="1">
      <c r="A32" s="28" t="s">
        <v>380</v>
      </c>
      <c r="B32" s="28"/>
      <c r="C32" s="589"/>
      <c r="D32" s="28"/>
      <c r="E32" s="28"/>
      <c r="F32" s="28"/>
      <c r="G32" s="28"/>
      <c r="H32" s="28"/>
      <c r="I32" s="599"/>
      <c r="J32" s="599"/>
    </row>
    <row r="33" spans="1:10" ht="15" customHeight="1">
      <c r="A33" s="28" t="s">
        <v>409</v>
      </c>
      <c r="B33" s="28"/>
      <c r="C33" s="589"/>
      <c r="D33" s="28"/>
      <c r="E33" s="28"/>
      <c r="F33" s="28"/>
      <c r="G33" s="28"/>
      <c r="H33" s="28"/>
      <c r="I33" s="599"/>
      <c r="J33" s="599"/>
    </row>
    <row r="34" spans="1:10" ht="15" customHeight="1">
      <c r="A34" s="28" t="s">
        <v>412</v>
      </c>
      <c r="I34" s="599"/>
      <c r="J34" s="599"/>
    </row>
    <row r="35" spans="1:10" ht="15" customHeight="1">
      <c r="A35" s="28" t="s">
        <v>413</v>
      </c>
      <c r="I35" s="599"/>
      <c r="J35" s="599"/>
    </row>
    <row r="36" spans="1:10" ht="15" customHeight="1">
      <c r="A36" s="28"/>
      <c r="I36" s="599"/>
      <c r="J36" s="599"/>
    </row>
    <row r="37" spans="9:10" ht="15" customHeight="1">
      <c r="I37" s="599"/>
      <c r="J37" s="599"/>
    </row>
    <row r="38" spans="1:10" ht="18.75">
      <c r="A38" s="50" t="s">
        <v>21</v>
      </c>
      <c r="B38" s="49"/>
      <c r="C38" s="591"/>
      <c r="I38" s="599"/>
      <c r="J38" s="599"/>
    </row>
    <row r="39" spans="1:10" ht="15.75">
      <c r="A39" s="52"/>
      <c r="B39" s="53"/>
      <c r="C39" s="592"/>
      <c r="D39" s="26"/>
      <c r="E39" s="26"/>
      <c r="F39" s="54"/>
      <c r="H39" s="54"/>
      <c r="I39" s="599"/>
      <c r="J39" s="599"/>
    </row>
    <row r="40" spans="1:10" ht="15.75">
      <c r="A40" s="52" t="s">
        <v>22</v>
      </c>
      <c r="B40" s="53"/>
      <c r="C40" s="592"/>
      <c r="D40" s="26"/>
      <c r="E40" s="26"/>
      <c r="F40" s="54"/>
      <c r="G40" s="4"/>
      <c r="H40" s="54">
        <f>H44+H55</f>
        <v>428798879.15</v>
      </c>
      <c r="I40" s="599"/>
      <c r="J40" s="599"/>
    </row>
    <row r="41" spans="1:10" ht="15.75">
      <c r="A41" s="52" t="s">
        <v>23</v>
      </c>
      <c r="B41" s="53"/>
      <c r="C41" s="592"/>
      <c r="D41" s="26"/>
      <c r="E41" s="26"/>
      <c r="F41" s="54"/>
      <c r="G41" s="4"/>
      <c r="H41" s="54">
        <f>H45+H56</f>
        <v>428684843.77000004</v>
      </c>
      <c r="I41" s="599"/>
      <c r="J41" s="599"/>
    </row>
    <row r="42" spans="1:10" ht="15.75">
      <c r="A42" s="55" t="s">
        <v>24</v>
      </c>
      <c r="B42" s="56"/>
      <c r="C42" s="593"/>
      <c r="D42" s="26"/>
      <c r="E42" s="26"/>
      <c r="F42" s="54"/>
      <c r="H42" s="54"/>
      <c r="I42" s="599"/>
      <c r="J42" s="599"/>
    </row>
    <row r="43" spans="1:10" ht="15.75">
      <c r="A43" s="55"/>
      <c r="B43" s="56"/>
      <c r="C43" s="593"/>
      <c r="D43" s="26"/>
      <c r="E43" s="26"/>
      <c r="F43" s="54"/>
      <c r="H43" s="54"/>
      <c r="I43" s="599"/>
      <c r="J43" s="629"/>
    </row>
    <row r="44" spans="1:10" ht="15.75">
      <c r="A44" s="52" t="s">
        <v>54</v>
      </c>
      <c r="B44" s="53"/>
      <c r="C44" s="592"/>
      <c r="D44" s="57"/>
      <c r="E44" s="26"/>
      <c r="F44" s="1"/>
      <c r="H44" s="54">
        <f>314114332.06+258301+5000</f>
        <v>314377633.06</v>
      </c>
      <c r="I44" s="599"/>
      <c r="J44" s="599"/>
    </row>
    <row r="45" spans="1:10" ht="15.75">
      <c r="A45" s="52" t="s">
        <v>23</v>
      </c>
      <c r="B45" s="53"/>
      <c r="C45" s="592"/>
      <c r="D45" s="57"/>
      <c r="E45" s="26"/>
      <c r="F45" s="1"/>
      <c r="H45" s="54">
        <f>H44-D86+F86</f>
        <v>314228567.67</v>
      </c>
      <c r="I45" s="599"/>
      <c r="J45" s="599"/>
    </row>
    <row r="46" spans="1:9" ht="15.75">
      <c r="A46" s="55"/>
      <c r="B46" s="49" t="s">
        <v>25</v>
      </c>
      <c r="C46" s="593"/>
      <c r="D46" s="26"/>
      <c r="E46" s="26"/>
      <c r="F46" s="1"/>
      <c r="H46" s="54"/>
      <c r="I46" s="599"/>
    </row>
    <row r="47" spans="1:8" ht="15.75">
      <c r="A47" s="58" t="s">
        <v>26</v>
      </c>
      <c r="B47" s="53"/>
      <c r="C47" s="592"/>
      <c r="D47" s="26"/>
      <c r="E47" s="26"/>
      <c r="F47" s="1"/>
      <c r="H47" s="54">
        <v>290614168.96</v>
      </c>
    </row>
    <row r="48" spans="1:10" ht="15.75">
      <c r="A48" s="58" t="s">
        <v>23</v>
      </c>
      <c r="B48" s="53"/>
      <c r="C48" s="592"/>
      <c r="D48" s="26"/>
      <c r="E48" s="26"/>
      <c r="F48" s="1"/>
      <c r="H48" s="54">
        <f>H47-D86+F86</f>
        <v>290465103.57</v>
      </c>
      <c r="I48" s="599"/>
      <c r="J48" s="599"/>
    </row>
    <row r="49" spans="1:8" ht="15.75">
      <c r="A49" s="58"/>
      <c r="B49" s="56" t="s">
        <v>4</v>
      </c>
      <c r="C49" s="592"/>
      <c r="D49" s="26"/>
      <c r="E49" s="26"/>
      <c r="F49" s="1"/>
      <c r="H49" s="54"/>
    </row>
    <row r="50" spans="1:8" ht="15.75">
      <c r="A50" s="58"/>
      <c r="B50" s="158" t="s">
        <v>366</v>
      </c>
      <c r="C50" s="592"/>
      <c r="D50" s="26"/>
      <c r="E50" s="26"/>
      <c r="F50" s="1"/>
      <c r="H50" s="54"/>
    </row>
    <row r="51" spans="1:8" ht="15.75">
      <c r="A51" s="58"/>
      <c r="B51" s="158" t="s">
        <v>367</v>
      </c>
      <c r="C51" s="593"/>
      <c r="D51" s="26"/>
      <c r="E51" s="26"/>
      <c r="F51" s="1"/>
      <c r="H51" s="1">
        <v>1591288.01</v>
      </c>
    </row>
    <row r="52" spans="1:10" ht="15.75">
      <c r="A52" s="58"/>
      <c r="B52" s="59" t="s">
        <v>27</v>
      </c>
      <c r="C52" s="592"/>
      <c r="D52" s="26"/>
      <c r="E52" s="26"/>
      <c r="F52" s="1"/>
      <c r="H52" s="1">
        <f>H51-D83</f>
        <v>1478264.62</v>
      </c>
      <c r="J52" s="599"/>
    </row>
    <row r="53" spans="1:8" ht="15.75">
      <c r="A53" s="58"/>
      <c r="B53" s="56"/>
      <c r="C53" s="592"/>
      <c r="D53" s="26"/>
      <c r="E53" s="26"/>
      <c r="F53" s="1"/>
      <c r="H53" s="54"/>
    </row>
    <row r="54" spans="1:8" ht="15.75">
      <c r="A54" s="58"/>
      <c r="B54" s="59"/>
      <c r="C54" s="592"/>
      <c r="D54" s="26"/>
      <c r="E54" s="26"/>
      <c r="F54" s="1"/>
      <c r="H54" s="1"/>
    </row>
    <row r="55" spans="1:8" ht="15.75">
      <c r="A55" s="52" t="s">
        <v>66</v>
      </c>
      <c r="B55" s="53"/>
      <c r="C55" s="592"/>
      <c r="D55" s="57"/>
      <c r="E55" s="26"/>
      <c r="F55" s="1"/>
      <c r="H55" s="54">
        <f>114406321.09+14953-28</f>
        <v>114421246.09</v>
      </c>
    </row>
    <row r="56" spans="1:10" ht="15.75">
      <c r="A56" s="52" t="s">
        <v>23</v>
      </c>
      <c r="B56" s="53"/>
      <c r="C56" s="592"/>
      <c r="D56" s="57"/>
      <c r="E56" s="26"/>
      <c r="F56" s="1"/>
      <c r="H56" s="54">
        <f>H55-D100+F100</f>
        <v>114456276.10000001</v>
      </c>
      <c r="I56" s="599"/>
      <c r="J56" s="599"/>
    </row>
    <row r="57" spans="1:8" ht="15.75">
      <c r="A57" s="55"/>
      <c r="B57" s="49" t="s">
        <v>25</v>
      </c>
      <c r="C57" s="593"/>
      <c r="D57" s="26"/>
      <c r="E57" s="26"/>
      <c r="F57" s="1"/>
      <c r="H57" s="54"/>
    </row>
    <row r="58" spans="1:8" ht="15.75">
      <c r="A58" s="58" t="s">
        <v>26</v>
      </c>
      <c r="B58" s="53"/>
      <c r="C58" s="592"/>
      <c r="D58" s="26"/>
      <c r="E58" s="26"/>
      <c r="F58" s="1"/>
      <c r="H58" s="54">
        <f>113861321.09+14953</f>
        <v>113876274.09</v>
      </c>
    </row>
    <row r="59" spans="1:10" ht="15.75">
      <c r="A59" s="58" t="s">
        <v>23</v>
      </c>
      <c r="B59" s="53"/>
      <c r="C59" s="592"/>
      <c r="D59" s="26"/>
      <c r="E59" s="26"/>
      <c r="F59" s="1"/>
      <c r="H59" s="54">
        <f>H58-D100+F100</f>
        <v>113911304.10000001</v>
      </c>
      <c r="I59" s="599"/>
      <c r="J59" s="599"/>
    </row>
    <row r="60" spans="1:8" ht="15.75">
      <c r="A60" s="58"/>
      <c r="B60" s="59"/>
      <c r="C60" s="592"/>
      <c r="D60" s="26"/>
      <c r="E60" s="26"/>
      <c r="F60" s="1"/>
      <c r="H60" s="1"/>
    </row>
    <row r="61" spans="1:8" ht="15.75">
      <c r="A61" s="58"/>
      <c r="B61" s="59"/>
      <c r="C61" s="592"/>
      <c r="D61" s="26"/>
      <c r="E61" s="26"/>
      <c r="F61" s="1"/>
      <c r="H61" s="1"/>
    </row>
    <row r="62" spans="1:8" ht="19.5">
      <c r="A62" s="62" t="s">
        <v>53</v>
      </c>
      <c r="B62" s="63"/>
      <c r="C62" s="64"/>
      <c r="D62" s="65"/>
      <c r="E62" s="65"/>
      <c r="F62" s="66"/>
      <c r="G62" s="66"/>
      <c r="H62" s="67"/>
    </row>
    <row r="63" spans="1:8" ht="19.5">
      <c r="A63" s="62"/>
      <c r="B63" s="63"/>
      <c r="C63" s="64"/>
      <c r="D63" s="65"/>
      <c r="E63" s="65"/>
      <c r="F63" s="66"/>
      <c r="G63" s="66"/>
      <c r="H63" s="67"/>
    </row>
    <row r="64" spans="1:7" ht="18.75">
      <c r="A64" s="71" t="s">
        <v>52</v>
      </c>
      <c r="B64" s="72"/>
      <c r="C64" s="73"/>
      <c r="D64" s="61"/>
      <c r="E64" s="61"/>
      <c r="F64" s="70"/>
      <c r="G64" s="70"/>
    </row>
    <row r="65" spans="1:7" ht="18.75">
      <c r="A65" s="68"/>
      <c r="B65" s="68"/>
      <c r="C65" s="69"/>
      <c r="D65" s="61"/>
      <c r="E65" s="61"/>
      <c r="F65" s="70"/>
      <c r="G65" s="70"/>
    </row>
    <row r="66" spans="1:7" ht="18.75">
      <c r="A66" s="74"/>
      <c r="B66" s="74"/>
      <c r="C66" s="75"/>
      <c r="D66" s="10" t="s">
        <v>28</v>
      </c>
      <c r="E66" s="11"/>
      <c r="F66" s="10" t="s">
        <v>29</v>
      </c>
      <c r="G66" s="11"/>
    </row>
    <row r="67" spans="1:7" ht="15" customHeight="1">
      <c r="A67" s="76"/>
      <c r="B67" s="76"/>
      <c r="C67" s="77"/>
      <c r="D67" s="12" t="s">
        <v>5</v>
      </c>
      <c r="E67" s="11" t="s">
        <v>4</v>
      </c>
      <c r="F67" s="12" t="s">
        <v>5</v>
      </c>
      <c r="G67" s="11" t="s">
        <v>4</v>
      </c>
    </row>
    <row r="68" spans="1:7" ht="21">
      <c r="A68" s="78" t="s">
        <v>7</v>
      </c>
      <c r="B68" s="78" t="s">
        <v>13</v>
      </c>
      <c r="C68" s="78" t="s">
        <v>8</v>
      </c>
      <c r="D68" s="13" t="s">
        <v>9</v>
      </c>
      <c r="E68" s="14" t="s">
        <v>10</v>
      </c>
      <c r="F68" s="13" t="s">
        <v>9</v>
      </c>
      <c r="G68" s="14" t="s">
        <v>10</v>
      </c>
    </row>
    <row r="69" spans="1:47" s="90" customFormat="1" ht="18.75">
      <c r="A69" s="81" t="s">
        <v>77</v>
      </c>
      <c r="B69" s="79"/>
      <c r="C69" s="79"/>
      <c r="D69" s="486">
        <f>D70+D73+D78+D82</f>
        <v>84259</v>
      </c>
      <c r="E69" s="486">
        <f>E70+E73+E78+E82</f>
        <v>0</v>
      </c>
      <c r="F69" s="486">
        <f>F70+F73+F78+F82</f>
        <v>48217</v>
      </c>
      <c r="G69" s="486">
        <f>G70+G73+G78+G82</f>
        <v>0</v>
      </c>
      <c r="H69" s="95"/>
      <c r="I69" s="601"/>
      <c r="J69" s="601"/>
      <c r="K69" s="628"/>
      <c r="L69" s="601"/>
      <c r="M69" s="601"/>
      <c r="N69" s="601"/>
      <c r="O69" s="601"/>
      <c r="P69" s="601"/>
      <c r="Q69" s="601"/>
      <c r="R69" s="601"/>
      <c r="S69" s="601"/>
      <c r="T69" s="601"/>
      <c r="U69" s="601"/>
      <c r="V69" s="601"/>
      <c r="W69" s="601"/>
      <c r="X69" s="601"/>
      <c r="Y69" s="601"/>
      <c r="Z69" s="601"/>
      <c r="AA69" s="601"/>
      <c r="AB69" s="601"/>
      <c r="AC69" s="601"/>
      <c r="AD69" s="601"/>
      <c r="AE69" s="601"/>
      <c r="AF69" s="601"/>
      <c r="AG69" s="601"/>
      <c r="AH69" s="601"/>
      <c r="AI69" s="601"/>
      <c r="AJ69" s="601"/>
      <c r="AK69" s="601"/>
      <c r="AL69" s="601"/>
      <c r="AM69" s="601"/>
      <c r="AN69" s="601"/>
      <c r="AO69" s="601"/>
      <c r="AP69" s="601"/>
      <c r="AQ69" s="601"/>
      <c r="AR69" s="601"/>
      <c r="AS69" s="601"/>
      <c r="AT69" s="601"/>
      <c r="AU69" s="601"/>
    </row>
    <row r="70" spans="1:7" ht="18.75">
      <c r="A70" s="83"/>
      <c r="B70" s="84" t="s">
        <v>78</v>
      </c>
      <c r="C70" s="85"/>
      <c r="D70" s="575"/>
      <c r="E70" s="575"/>
      <c r="F70" s="575">
        <f>SUM(F71:F72)</f>
        <v>29540</v>
      </c>
      <c r="G70" s="575"/>
    </row>
    <row r="71" spans="1:7" ht="18.75">
      <c r="A71" s="186"/>
      <c r="B71" s="83"/>
      <c r="C71" s="85" t="s">
        <v>393</v>
      </c>
      <c r="D71" s="575"/>
      <c r="E71" s="575"/>
      <c r="F71" s="575">
        <v>21000</v>
      </c>
      <c r="G71" s="189"/>
    </row>
    <row r="72" spans="1:7" ht="18.75">
      <c r="A72" s="186"/>
      <c r="B72" s="96"/>
      <c r="C72" s="85" t="s">
        <v>383</v>
      </c>
      <c r="D72" s="189"/>
      <c r="E72" s="189"/>
      <c r="F72" s="189">
        <f>2000+6540</f>
        <v>8540</v>
      </c>
      <c r="G72" s="189"/>
    </row>
    <row r="73" spans="1:7" ht="18.75">
      <c r="A73" s="87"/>
      <c r="B73" s="88" t="s">
        <v>384</v>
      </c>
      <c r="C73" s="85"/>
      <c r="D73" s="189">
        <f>SUM(D74:D77)</f>
        <v>4200</v>
      </c>
      <c r="E73" s="189">
        <f>SUM(E74:E77)</f>
        <v>0</v>
      </c>
      <c r="F73" s="189">
        <f>SUM(F74:F77)</f>
        <v>11011</v>
      </c>
      <c r="G73" s="189">
        <f>SUM(G74:G77)</f>
        <v>0</v>
      </c>
    </row>
    <row r="74" spans="1:7" ht="18.75">
      <c r="A74" s="186"/>
      <c r="B74" s="83"/>
      <c r="C74" s="85" t="s">
        <v>393</v>
      </c>
      <c r="D74" s="189"/>
      <c r="E74" s="189"/>
      <c r="F74" s="189">
        <f>3000+4200</f>
        <v>7200</v>
      </c>
      <c r="G74" s="189"/>
    </row>
    <row r="75" spans="1:7" ht="18.75">
      <c r="A75" s="186"/>
      <c r="B75" s="87"/>
      <c r="C75" s="85" t="s">
        <v>385</v>
      </c>
      <c r="D75" s="189">
        <v>4200</v>
      </c>
      <c r="E75" s="189"/>
      <c r="F75" s="189">
        <v>2500</v>
      </c>
      <c r="G75" s="189"/>
    </row>
    <row r="76" spans="1:7" ht="18.75">
      <c r="A76" s="186"/>
      <c r="B76" s="87"/>
      <c r="C76" s="85" t="s">
        <v>414</v>
      </c>
      <c r="D76" s="189"/>
      <c r="E76" s="189"/>
      <c r="F76" s="189">
        <v>50</v>
      </c>
      <c r="G76" s="189"/>
    </row>
    <row r="77" spans="1:7" ht="18.75">
      <c r="A77" s="186"/>
      <c r="B77" s="96"/>
      <c r="C77" s="85" t="s">
        <v>383</v>
      </c>
      <c r="D77" s="189"/>
      <c r="E77" s="189"/>
      <c r="F77" s="189">
        <f>761+500</f>
        <v>1261</v>
      </c>
      <c r="G77" s="189"/>
    </row>
    <row r="78" spans="1:7" ht="18.75">
      <c r="A78" s="186"/>
      <c r="B78" s="87" t="s">
        <v>460</v>
      </c>
      <c r="C78" s="85"/>
      <c r="D78" s="189"/>
      <c r="E78" s="189"/>
      <c r="F78" s="189">
        <f>SUM(F79:F81)</f>
        <v>7666</v>
      </c>
      <c r="G78" s="189"/>
    </row>
    <row r="79" spans="1:7" ht="18.75">
      <c r="A79" s="186"/>
      <c r="B79" s="83"/>
      <c r="C79" s="85" t="s">
        <v>520</v>
      </c>
      <c r="D79" s="189"/>
      <c r="E79" s="189"/>
      <c r="F79" s="189">
        <v>231</v>
      </c>
      <c r="G79" s="189"/>
    </row>
    <row r="80" spans="1:7" ht="18.75">
      <c r="A80" s="186"/>
      <c r="B80" s="87"/>
      <c r="C80" s="85" t="s">
        <v>393</v>
      </c>
      <c r="D80" s="189"/>
      <c r="E80" s="189"/>
      <c r="F80" s="189">
        <v>3565</v>
      </c>
      <c r="G80" s="189"/>
    </row>
    <row r="81" spans="1:7" ht="18.75">
      <c r="A81" s="186"/>
      <c r="B81" s="96"/>
      <c r="C81" s="85" t="s">
        <v>383</v>
      </c>
      <c r="D81" s="189"/>
      <c r="E81" s="189"/>
      <c r="F81" s="189">
        <v>3870</v>
      </c>
      <c r="G81" s="189"/>
    </row>
    <row r="82" spans="1:7" ht="18.75">
      <c r="A82" s="186"/>
      <c r="B82" s="96" t="s">
        <v>289</v>
      </c>
      <c r="C82" s="85" t="s">
        <v>385</v>
      </c>
      <c r="D82" s="189">
        <f>23154+56905</f>
        <v>80059</v>
      </c>
      <c r="E82" s="189"/>
      <c r="F82" s="189"/>
      <c r="G82" s="189"/>
    </row>
    <row r="83" spans="1:47" s="90" customFormat="1" ht="18.75">
      <c r="A83" s="81" t="s">
        <v>387</v>
      </c>
      <c r="B83" s="191" t="s">
        <v>388</v>
      </c>
      <c r="C83" s="82"/>
      <c r="D83" s="94">
        <f>SUM(D84:D85)</f>
        <v>113023.39</v>
      </c>
      <c r="E83" s="94">
        <f>SUM(E84:E85)</f>
        <v>0</v>
      </c>
      <c r="F83" s="94">
        <f>SUM(F84:F85)</f>
        <v>0</v>
      </c>
      <c r="G83" s="94">
        <f>SUM(G84:G85)</f>
        <v>0</v>
      </c>
      <c r="H83" s="95"/>
      <c r="I83" s="628"/>
      <c r="J83" s="601"/>
      <c r="K83" s="628"/>
      <c r="L83" s="601"/>
      <c r="M83" s="601"/>
      <c r="N83" s="601"/>
      <c r="O83" s="601"/>
      <c r="P83" s="601"/>
      <c r="Q83" s="601"/>
      <c r="R83" s="601"/>
      <c r="S83" s="601"/>
      <c r="T83" s="601"/>
      <c r="U83" s="601"/>
      <c r="V83" s="601"/>
      <c r="W83" s="601"/>
      <c r="X83" s="601"/>
      <c r="Y83" s="601"/>
      <c r="Z83" s="601"/>
      <c r="AA83" s="601"/>
      <c r="AB83" s="601"/>
      <c r="AC83" s="601"/>
      <c r="AD83" s="601"/>
      <c r="AE83" s="601"/>
      <c r="AF83" s="601"/>
      <c r="AG83" s="601"/>
      <c r="AH83" s="601"/>
      <c r="AI83" s="601"/>
      <c r="AJ83" s="601"/>
      <c r="AK83" s="601"/>
      <c r="AL83" s="601"/>
      <c r="AM83" s="601"/>
      <c r="AN83" s="601"/>
      <c r="AO83" s="601"/>
      <c r="AP83" s="601"/>
      <c r="AQ83" s="601"/>
      <c r="AR83" s="601"/>
      <c r="AS83" s="601"/>
      <c r="AT83" s="601"/>
      <c r="AU83" s="601"/>
    </row>
    <row r="84" spans="1:47" s="90" customFormat="1" ht="18.75">
      <c r="A84" s="81"/>
      <c r="B84" s="81"/>
      <c r="C84" s="85" t="s">
        <v>415</v>
      </c>
      <c r="D84" s="189">
        <f>67108.14-2082.51+16264.63+17219.3</f>
        <v>98509.56</v>
      </c>
      <c r="E84" s="94"/>
      <c r="F84" s="94"/>
      <c r="G84" s="94"/>
      <c r="H84" s="95"/>
      <c r="I84" s="628"/>
      <c r="J84" s="601"/>
      <c r="K84" s="628"/>
      <c r="L84" s="601"/>
      <c r="M84" s="601"/>
      <c r="N84" s="601"/>
      <c r="O84" s="601"/>
      <c r="P84" s="601"/>
      <c r="Q84" s="601"/>
      <c r="R84" s="601"/>
      <c r="S84" s="601"/>
      <c r="T84" s="601"/>
      <c r="U84" s="601"/>
      <c r="V84" s="601"/>
      <c r="W84" s="601"/>
      <c r="X84" s="601"/>
      <c r="Y84" s="601"/>
      <c r="Z84" s="601"/>
      <c r="AA84" s="601"/>
      <c r="AB84" s="601"/>
      <c r="AC84" s="601"/>
      <c r="AD84" s="601"/>
      <c r="AE84" s="601"/>
      <c r="AF84" s="601"/>
      <c r="AG84" s="601"/>
      <c r="AH84" s="601"/>
      <c r="AI84" s="601"/>
      <c r="AJ84" s="601"/>
      <c r="AK84" s="601"/>
      <c r="AL84" s="601"/>
      <c r="AM84" s="601"/>
      <c r="AN84" s="601"/>
      <c r="AO84" s="601"/>
      <c r="AP84" s="601"/>
      <c r="AQ84" s="601"/>
      <c r="AR84" s="601"/>
      <c r="AS84" s="601"/>
      <c r="AT84" s="601"/>
      <c r="AU84" s="601"/>
    </row>
    <row r="85" spans="1:47" s="90" customFormat="1" ht="18.75">
      <c r="A85" s="191"/>
      <c r="B85" s="191"/>
      <c r="C85" s="85" t="s">
        <v>416</v>
      </c>
      <c r="D85" s="189">
        <f>11842.62-367.49+3038.7</f>
        <v>14513.830000000002</v>
      </c>
      <c r="E85" s="94"/>
      <c r="F85" s="94"/>
      <c r="G85" s="94"/>
      <c r="H85" s="95"/>
      <c r="I85" s="601"/>
      <c r="J85" s="628"/>
      <c r="K85" s="628"/>
      <c r="L85" s="601"/>
      <c r="M85" s="601"/>
      <c r="N85" s="601"/>
      <c r="O85" s="601"/>
      <c r="P85" s="601"/>
      <c r="Q85" s="601"/>
      <c r="R85" s="601"/>
      <c r="S85" s="601"/>
      <c r="T85" s="601"/>
      <c r="U85" s="601"/>
      <c r="V85" s="601"/>
      <c r="W85" s="601"/>
      <c r="X85" s="601"/>
      <c r="Y85" s="601"/>
      <c r="Z85" s="601"/>
      <c r="AA85" s="601"/>
      <c r="AB85" s="601"/>
      <c r="AC85" s="601"/>
      <c r="AD85" s="601"/>
      <c r="AE85" s="601"/>
      <c r="AF85" s="601"/>
      <c r="AG85" s="601"/>
      <c r="AH85" s="601"/>
      <c r="AI85" s="601"/>
      <c r="AJ85" s="601"/>
      <c r="AK85" s="601"/>
      <c r="AL85" s="601"/>
      <c r="AM85" s="601"/>
      <c r="AN85" s="601"/>
      <c r="AO85" s="601"/>
      <c r="AP85" s="601"/>
      <c r="AQ85" s="601"/>
      <c r="AR85" s="601"/>
      <c r="AS85" s="601"/>
      <c r="AT85" s="601"/>
      <c r="AU85" s="601"/>
    </row>
    <row r="86" spans="1:47" s="33" customFormat="1" ht="19.5" customHeight="1">
      <c r="A86" s="187" t="s">
        <v>14</v>
      </c>
      <c r="B86" s="584"/>
      <c r="C86" s="82"/>
      <c r="D86" s="97">
        <f>D69+D83</f>
        <v>197282.39</v>
      </c>
      <c r="E86" s="97">
        <f>E69+E83</f>
        <v>0</v>
      </c>
      <c r="F86" s="97">
        <f>F69+F83</f>
        <v>48217</v>
      </c>
      <c r="G86" s="97">
        <f>G69+G83</f>
        <v>0</v>
      </c>
      <c r="H86" s="93"/>
      <c r="I86" s="624"/>
      <c r="J86" s="600"/>
      <c r="K86" s="624"/>
      <c r="L86" s="600"/>
      <c r="M86" s="600"/>
      <c r="N86" s="600"/>
      <c r="O86" s="600"/>
      <c r="P86" s="600"/>
      <c r="Q86" s="600"/>
      <c r="R86" s="600"/>
      <c r="S86" s="600"/>
      <c r="T86" s="600"/>
      <c r="U86" s="600"/>
      <c r="V86" s="600"/>
      <c r="W86" s="600"/>
      <c r="X86" s="600"/>
      <c r="Y86" s="600"/>
      <c r="Z86" s="600"/>
      <c r="AA86" s="600"/>
      <c r="AB86" s="600"/>
      <c r="AC86" s="600"/>
      <c r="AD86" s="600"/>
      <c r="AE86" s="600"/>
      <c r="AF86" s="600"/>
      <c r="AG86" s="600"/>
      <c r="AH86" s="600"/>
      <c r="AI86" s="600"/>
      <c r="AJ86" s="600"/>
      <c r="AK86" s="600"/>
      <c r="AL86" s="600"/>
      <c r="AM86" s="600"/>
      <c r="AN86" s="600"/>
      <c r="AO86" s="600"/>
      <c r="AP86" s="600"/>
      <c r="AQ86" s="600"/>
      <c r="AR86" s="600"/>
      <c r="AS86" s="600"/>
      <c r="AT86" s="600"/>
      <c r="AU86" s="600"/>
    </row>
    <row r="87" spans="1:47" s="33" customFormat="1" ht="19.5" customHeight="1">
      <c r="A87" s="91"/>
      <c r="B87" s="92"/>
      <c r="C87" s="92"/>
      <c r="D87" s="93"/>
      <c r="E87" s="93"/>
      <c r="F87" s="93"/>
      <c r="G87" s="93"/>
      <c r="I87" s="600"/>
      <c r="J87" s="600"/>
      <c r="K87" s="624"/>
      <c r="L87" s="600"/>
      <c r="M87" s="600"/>
      <c r="N87" s="600"/>
      <c r="O87" s="600"/>
      <c r="P87" s="600"/>
      <c r="Q87" s="600"/>
      <c r="R87" s="600"/>
      <c r="S87" s="600"/>
      <c r="T87" s="600"/>
      <c r="U87" s="600"/>
      <c r="V87" s="600"/>
      <c r="W87" s="600"/>
      <c r="X87" s="600"/>
      <c r="Y87" s="600"/>
      <c r="Z87" s="600"/>
      <c r="AA87" s="600"/>
      <c r="AB87" s="600"/>
      <c r="AC87" s="600"/>
      <c r="AD87" s="600"/>
      <c r="AE87" s="600"/>
      <c r="AF87" s="600"/>
      <c r="AG87" s="600"/>
      <c r="AH87" s="600"/>
      <c r="AI87" s="600"/>
      <c r="AJ87" s="600"/>
      <c r="AK87" s="600"/>
      <c r="AL87" s="600"/>
      <c r="AM87" s="600"/>
      <c r="AN87" s="600"/>
      <c r="AO87" s="600"/>
      <c r="AP87" s="600"/>
      <c r="AQ87" s="600"/>
      <c r="AR87" s="600"/>
      <c r="AS87" s="600"/>
      <c r="AT87" s="600"/>
      <c r="AU87" s="600"/>
    </row>
    <row r="88" spans="1:47" s="33" customFormat="1" ht="19.5" customHeight="1">
      <c r="A88" s="91"/>
      <c r="B88" s="92"/>
      <c r="C88" s="92"/>
      <c r="D88" s="93"/>
      <c r="E88" s="93"/>
      <c r="F88" s="93"/>
      <c r="G88" s="93"/>
      <c r="I88" s="600"/>
      <c r="J88" s="600"/>
      <c r="K88" s="624"/>
      <c r="L88" s="600"/>
      <c r="M88" s="600"/>
      <c r="N88" s="600"/>
      <c r="O88" s="600"/>
      <c r="P88" s="600"/>
      <c r="Q88" s="600"/>
      <c r="R88" s="600"/>
      <c r="S88" s="600"/>
      <c r="T88" s="600"/>
      <c r="U88" s="600"/>
      <c r="V88" s="600"/>
      <c r="W88" s="600"/>
      <c r="X88" s="600"/>
      <c r="Y88" s="600"/>
      <c r="Z88" s="600"/>
      <c r="AA88" s="600"/>
      <c r="AB88" s="600"/>
      <c r="AC88" s="600"/>
      <c r="AD88" s="600"/>
      <c r="AE88" s="600"/>
      <c r="AF88" s="600"/>
      <c r="AG88" s="600"/>
      <c r="AH88" s="600"/>
      <c r="AI88" s="600"/>
      <c r="AJ88" s="600"/>
      <c r="AK88" s="600"/>
      <c r="AL88" s="600"/>
      <c r="AM88" s="600"/>
      <c r="AN88" s="600"/>
      <c r="AO88" s="600"/>
      <c r="AP88" s="600"/>
      <c r="AQ88" s="600"/>
      <c r="AR88" s="600"/>
      <c r="AS88" s="600"/>
      <c r="AT88" s="600"/>
      <c r="AU88" s="600"/>
    </row>
    <row r="89" spans="1:47" s="33" customFormat="1" ht="19.5" customHeight="1">
      <c r="A89" s="62" t="s">
        <v>65</v>
      </c>
      <c r="B89" s="63"/>
      <c r="C89" s="64"/>
      <c r="D89" s="65"/>
      <c r="E89" s="65"/>
      <c r="F89" s="66"/>
      <c r="G89" s="66"/>
      <c r="H89" s="67"/>
      <c r="I89" s="600"/>
      <c r="J89" s="600"/>
      <c r="K89" s="624"/>
      <c r="L89" s="600"/>
      <c r="M89" s="600"/>
      <c r="N89" s="600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600"/>
      <c r="AA89" s="600"/>
      <c r="AB89" s="600"/>
      <c r="AC89" s="600"/>
      <c r="AD89" s="600"/>
      <c r="AE89" s="600"/>
      <c r="AF89" s="600"/>
      <c r="AG89" s="600"/>
      <c r="AH89" s="600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</row>
    <row r="90" spans="1:47" s="33" customFormat="1" ht="19.5" customHeight="1">
      <c r="A90" s="62"/>
      <c r="B90" s="63"/>
      <c r="C90" s="64"/>
      <c r="D90" s="65"/>
      <c r="E90" s="65"/>
      <c r="F90" s="66"/>
      <c r="G90" s="66"/>
      <c r="H90" s="67"/>
      <c r="I90" s="600"/>
      <c r="J90" s="600"/>
      <c r="K90" s="624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  <c r="AG90" s="600"/>
      <c r="AH90" s="600"/>
      <c r="AI90" s="600"/>
      <c r="AJ90" s="600"/>
      <c r="AK90" s="600"/>
      <c r="AL90" s="600"/>
      <c r="AM90" s="600"/>
      <c r="AN90" s="600"/>
      <c r="AO90" s="600"/>
      <c r="AP90" s="600"/>
      <c r="AQ90" s="600"/>
      <c r="AR90" s="600"/>
      <c r="AS90" s="600"/>
      <c r="AT90" s="600"/>
      <c r="AU90" s="600"/>
    </row>
    <row r="91" spans="1:47" s="33" customFormat="1" ht="19.5" customHeight="1">
      <c r="A91" s="71" t="s">
        <v>67</v>
      </c>
      <c r="B91" s="72"/>
      <c r="C91" s="73"/>
      <c r="D91" s="61"/>
      <c r="E91" s="61"/>
      <c r="F91" s="70"/>
      <c r="G91" s="70"/>
      <c r="H91" s="24"/>
      <c r="I91" s="600"/>
      <c r="J91" s="600"/>
      <c r="K91" s="624"/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600"/>
      <c r="AL91" s="600"/>
      <c r="AM91" s="600"/>
      <c r="AN91" s="600"/>
      <c r="AO91" s="600"/>
      <c r="AP91" s="600"/>
      <c r="AQ91" s="600"/>
      <c r="AR91" s="600"/>
      <c r="AS91" s="600"/>
      <c r="AT91" s="600"/>
      <c r="AU91" s="600"/>
    </row>
    <row r="92" spans="1:47" s="33" customFormat="1" ht="19.5" customHeight="1">
      <c r="A92" s="68"/>
      <c r="B92" s="68"/>
      <c r="C92" s="69"/>
      <c r="D92" s="61"/>
      <c r="E92" s="61"/>
      <c r="F92" s="70"/>
      <c r="G92" s="70"/>
      <c r="H92" s="24"/>
      <c r="I92" s="600"/>
      <c r="J92" s="600"/>
      <c r="K92" s="624"/>
      <c r="L92" s="600"/>
      <c r="M92" s="600"/>
      <c r="N92" s="600"/>
      <c r="O92" s="600"/>
      <c r="P92" s="600"/>
      <c r="Q92" s="600"/>
      <c r="R92" s="600"/>
      <c r="S92" s="600"/>
      <c r="T92" s="600"/>
      <c r="U92" s="600"/>
      <c r="V92" s="600"/>
      <c r="W92" s="600"/>
      <c r="X92" s="600"/>
      <c r="Y92" s="600"/>
      <c r="Z92" s="600"/>
      <c r="AA92" s="600"/>
      <c r="AB92" s="600"/>
      <c r="AC92" s="600"/>
      <c r="AD92" s="600"/>
      <c r="AE92" s="600"/>
      <c r="AF92" s="600"/>
      <c r="AG92" s="600"/>
      <c r="AH92" s="600"/>
      <c r="AI92" s="600"/>
      <c r="AJ92" s="600"/>
      <c r="AK92" s="600"/>
      <c r="AL92" s="600"/>
      <c r="AM92" s="600"/>
      <c r="AN92" s="600"/>
      <c r="AO92" s="600"/>
      <c r="AP92" s="600"/>
      <c r="AQ92" s="600"/>
      <c r="AR92" s="600"/>
      <c r="AS92" s="600"/>
      <c r="AT92" s="600"/>
      <c r="AU92" s="600"/>
    </row>
    <row r="93" spans="1:47" s="33" customFormat="1" ht="19.5" customHeight="1">
      <c r="A93" s="74"/>
      <c r="B93" s="74"/>
      <c r="C93" s="75"/>
      <c r="D93" s="10" t="s">
        <v>28</v>
      </c>
      <c r="E93" s="11"/>
      <c r="F93" s="10" t="s">
        <v>29</v>
      </c>
      <c r="G93" s="11"/>
      <c r="H93" s="24"/>
      <c r="I93" s="600"/>
      <c r="J93" s="600"/>
      <c r="K93" s="624"/>
      <c r="L93" s="600"/>
      <c r="M93" s="600"/>
      <c r="N93" s="600"/>
      <c r="O93" s="600"/>
      <c r="P93" s="600"/>
      <c r="Q93" s="600"/>
      <c r="R93" s="600"/>
      <c r="S93" s="600"/>
      <c r="T93" s="600"/>
      <c r="U93" s="600"/>
      <c r="V93" s="600"/>
      <c r="W93" s="600"/>
      <c r="X93" s="600"/>
      <c r="Y93" s="600"/>
      <c r="Z93" s="600"/>
      <c r="AA93" s="600"/>
      <c r="AB93" s="600"/>
      <c r="AC93" s="600"/>
      <c r="AD93" s="600"/>
      <c r="AE93" s="600"/>
      <c r="AF93" s="600"/>
      <c r="AG93" s="600"/>
      <c r="AH93" s="600"/>
      <c r="AI93" s="600"/>
      <c r="AJ93" s="600"/>
      <c r="AK93" s="600"/>
      <c r="AL93" s="600"/>
      <c r="AM93" s="600"/>
      <c r="AN93" s="600"/>
      <c r="AO93" s="600"/>
      <c r="AP93" s="600"/>
      <c r="AQ93" s="600"/>
      <c r="AR93" s="600"/>
      <c r="AS93" s="600"/>
      <c r="AT93" s="600"/>
      <c r="AU93" s="600"/>
    </row>
    <row r="94" spans="1:47" s="33" customFormat="1" ht="19.5" customHeight="1">
      <c r="A94" s="76"/>
      <c r="B94" s="76"/>
      <c r="C94" s="77"/>
      <c r="D94" s="12" t="s">
        <v>5</v>
      </c>
      <c r="E94" s="11" t="s">
        <v>4</v>
      </c>
      <c r="F94" s="12" t="s">
        <v>5</v>
      </c>
      <c r="G94" s="11" t="s">
        <v>4</v>
      </c>
      <c r="H94" s="24"/>
      <c r="I94" s="600"/>
      <c r="J94" s="600"/>
      <c r="K94" s="624"/>
      <c r="L94" s="600"/>
      <c r="M94" s="600"/>
      <c r="N94" s="600"/>
      <c r="O94" s="600"/>
      <c r="P94" s="600"/>
      <c r="Q94" s="600"/>
      <c r="R94" s="600"/>
      <c r="S94" s="600"/>
      <c r="T94" s="600"/>
      <c r="U94" s="600"/>
      <c r="V94" s="600"/>
      <c r="W94" s="600"/>
      <c r="X94" s="600"/>
      <c r="Y94" s="600"/>
      <c r="Z94" s="600"/>
      <c r="AA94" s="600"/>
      <c r="AB94" s="600"/>
      <c r="AC94" s="600"/>
      <c r="AD94" s="600"/>
      <c r="AE94" s="600"/>
      <c r="AF94" s="600"/>
      <c r="AG94" s="600"/>
      <c r="AH94" s="600"/>
      <c r="AI94" s="600"/>
      <c r="AJ94" s="600"/>
      <c r="AK94" s="600"/>
      <c r="AL94" s="600"/>
      <c r="AM94" s="600"/>
      <c r="AN94" s="600"/>
      <c r="AO94" s="600"/>
      <c r="AP94" s="600"/>
      <c r="AQ94" s="600"/>
      <c r="AR94" s="600"/>
      <c r="AS94" s="600"/>
      <c r="AT94" s="600"/>
      <c r="AU94" s="600"/>
    </row>
    <row r="95" spans="1:47" s="33" customFormat="1" ht="19.5" customHeight="1">
      <c r="A95" s="78" t="s">
        <v>7</v>
      </c>
      <c r="B95" s="78" t="s">
        <v>13</v>
      </c>
      <c r="C95" s="78" t="s">
        <v>8</v>
      </c>
      <c r="D95" s="13" t="s">
        <v>9</v>
      </c>
      <c r="E95" s="14" t="s">
        <v>10</v>
      </c>
      <c r="F95" s="13" t="s">
        <v>9</v>
      </c>
      <c r="G95" s="14" t="s">
        <v>10</v>
      </c>
      <c r="H95" s="24"/>
      <c r="I95" s="600"/>
      <c r="J95" s="600"/>
      <c r="K95" s="624"/>
      <c r="L95" s="600"/>
      <c r="M95" s="600"/>
      <c r="N95" s="600"/>
      <c r="O95" s="600"/>
      <c r="P95" s="600"/>
      <c r="Q95" s="600"/>
      <c r="R95" s="600"/>
      <c r="S95" s="600"/>
      <c r="T95" s="600"/>
      <c r="U95" s="600"/>
      <c r="V95" s="600"/>
      <c r="W95" s="600"/>
      <c r="X95" s="600"/>
      <c r="Y95" s="600"/>
      <c r="Z95" s="600"/>
      <c r="AA95" s="600"/>
      <c r="AB95" s="600"/>
      <c r="AC95" s="600"/>
      <c r="AD95" s="600"/>
      <c r="AE95" s="600"/>
      <c r="AF95" s="600"/>
      <c r="AG95" s="600"/>
      <c r="AH95" s="600"/>
      <c r="AI95" s="600"/>
      <c r="AJ95" s="600"/>
      <c r="AK95" s="600"/>
      <c r="AL95" s="600"/>
      <c r="AM95" s="600"/>
      <c r="AN95" s="600"/>
      <c r="AO95" s="600"/>
      <c r="AP95" s="600"/>
      <c r="AQ95" s="600"/>
      <c r="AR95" s="600"/>
      <c r="AS95" s="600"/>
      <c r="AT95" s="600"/>
      <c r="AU95" s="600"/>
    </row>
    <row r="96" spans="1:47" s="33" customFormat="1" ht="19.5" customHeight="1">
      <c r="A96" s="79" t="s">
        <v>77</v>
      </c>
      <c r="B96" s="79" t="s">
        <v>498</v>
      </c>
      <c r="C96" s="79" t="s">
        <v>383</v>
      </c>
      <c r="D96" s="178"/>
      <c r="E96" s="585"/>
      <c r="F96" s="178">
        <v>1159.65</v>
      </c>
      <c r="G96" s="585"/>
      <c r="H96" s="484"/>
      <c r="I96" s="600"/>
      <c r="J96" s="600"/>
      <c r="K96" s="624"/>
      <c r="L96" s="600"/>
      <c r="M96" s="600"/>
      <c r="N96" s="600"/>
      <c r="O96" s="600"/>
      <c r="P96" s="600"/>
      <c r="Q96" s="600"/>
      <c r="R96" s="600"/>
      <c r="S96" s="600"/>
      <c r="T96" s="600"/>
      <c r="U96" s="600"/>
      <c r="V96" s="600"/>
      <c r="W96" s="600"/>
      <c r="X96" s="600"/>
      <c r="Y96" s="600"/>
      <c r="Z96" s="600"/>
      <c r="AA96" s="600"/>
      <c r="AB96" s="600"/>
      <c r="AC96" s="600"/>
      <c r="AD96" s="600"/>
      <c r="AE96" s="600"/>
      <c r="AF96" s="600"/>
      <c r="AG96" s="600"/>
      <c r="AH96" s="600"/>
      <c r="AI96" s="600"/>
      <c r="AJ96" s="600"/>
      <c r="AK96" s="600"/>
      <c r="AL96" s="600"/>
      <c r="AM96" s="600"/>
      <c r="AN96" s="600"/>
      <c r="AO96" s="600"/>
      <c r="AP96" s="600"/>
      <c r="AQ96" s="600"/>
      <c r="AR96" s="600"/>
      <c r="AS96" s="600"/>
      <c r="AT96" s="600"/>
      <c r="AU96" s="600"/>
    </row>
    <row r="97" spans="1:47" s="33" customFormat="1" ht="19.5" customHeight="1">
      <c r="A97" s="79" t="s">
        <v>465</v>
      </c>
      <c r="B97" s="79" t="s">
        <v>473</v>
      </c>
      <c r="C97" s="79" t="s">
        <v>385</v>
      </c>
      <c r="D97" s="178"/>
      <c r="E97" s="585"/>
      <c r="F97" s="178">
        <v>30000</v>
      </c>
      <c r="G97" s="585"/>
      <c r="H97" s="484"/>
      <c r="I97" s="600"/>
      <c r="J97" s="600"/>
      <c r="K97" s="624"/>
      <c r="L97" s="600"/>
      <c r="M97" s="600"/>
      <c r="N97" s="600"/>
      <c r="O97" s="600"/>
      <c r="P97" s="600"/>
      <c r="Q97" s="600"/>
      <c r="R97" s="600"/>
      <c r="S97" s="600"/>
      <c r="T97" s="600"/>
      <c r="U97" s="600"/>
      <c r="V97" s="600"/>
      <c r="W97" s="600"/>
      <c r="X97" s="600"/>
      <c r="Y97" s="600"/>
      <c r="Z97" s="600"/>
      <c r="AA97" s="600"/>
      <c r="AB97" s="600"/>
      <c r="AC97" s="600"/>
      <c r="AD97" s="600"/>
      <c r="AE97" s="600"/>
      <c r="AF97" s="600"/>
      <c r="AG97" s="600"/>
      <c r="AH97" s="600"/>
      <c r="AI97" s="600"/>
      <c r="AJ97" s="600"/>
      <c r="AK97" s="600"/>
      <c r="AL97" s="600"/>
      <c r="AM97" s="600"/>
      <c r="AN97" s="600"/>
      <c r="AO97" s="600"/>
      <c r="AP97" s="600"/>
      <c r="AQ97" s="600"/>
      <c r="AR97" s="600"/>
      <c r="AS97" s="600"/>
      <c r="AT97" s="600"/>
      <c r="AU97" s="600"/>
    </row>
    <row r="98" spans="1:47" s="33" customFormat="1" ht="19.5" customHeight="1">
      <c r="A98" s="79" t="s">
        <v>387</v>
      </c>
      <c r="B98" s="79" t="s">
        <v>389</v>
      </c>
      <c r="C98" s="79" t="s">
        <v>417</v>
      </c>
      <c r="D98" s="178"/>
      <c r="E98" s="585"/>
      <c r="F98" s="178">
        <v>870.36</v>
      </c>
      <c r="G98" s="585"/>
      <c r="H98" s="484"/>
      <c r="I98" s="600"/>
      <c r="J98" s="600"/>
      <c r="K98" s="624"/>
      <c r="L98" s="600"/>
      <c r="M98" s="600"/>
      <c r="N98" s="600"/>
      <c r="O98" s="600"/>
      <c r="P98" s="600"/>
      <c r="Q98" s="600"/>
      <c r="R98" s="600"/>
      <c r="S98" s="600"/>
      <c r="T98" s="600"/>
      <c r="U98" s="600"/>
      <c r="V98" s="600"/>
      <c r="W98" s="600"/>
      <c r="X98" s="600"/>
      <c r="Y98" s="600"/>
      <c r="Z98" s="600"/>
      <c r="AA98" s="600"/>
      <c r="AB98" s="600"/>
      <c r="AC98" s="600"/>
      <c r="AD98" s="600"/>
      <c r="AE98" s="600"/>
      <c r="AF98" s="600"/>
      <c r="AG98" s="600"/>
      <c r="AH98" s="600"/>
      <c r="AI98" s="600"/>
      <c r="AJ98" s="600"/>
      <c r="AK98" s="600"/>
      <c r="AL98" s="600"/>
      <c r="AM98" s="600"/>
      <c r="AN98" s="600"/>
      <c r="AO98" s="600"/>
      <c r="AP98" s="600"/>
      <c r="AQ98" s="600"/>
      <c r="AR98" s="600"/>
      <c r="AS98" s="600"/>
      <c r="AT98" s="600"/>
      <c r="AU98" s="600"/>
    </row>
    <row r="99" spans="1:47" s="33" customFormat="1" ht="19.5" customHeight="1">
      <c r="A99" s="79" t="s">
        <v>381</v>
      </c>
      <c r="B99" s="79" t="s">
        <v>488</v>
      </c>
      <c r="C99" s="79" t="s">
        <v>385</v>
      </c>
      <c r="D99" s="178"/>
      <c r="E99" s="585"/>
      <c r="F99" s="178">
        <v>3000</v>
      </c>
      <c r="G99" s="585"/>
      <c r="H99" s="484"/>
      <c r="I99" s="600"/>
      <c r="J99" s="600"/>
      <c r="K99" s="624"/>
      <c r="L99" s="600"/>
      <c r="M99" s="600"/>
      <c r="N99" s="600"/>
      <c r="O99" s="600"/>
      <c r="P99" s="600"/>
      <c r="Q99" s="600"/>
      <c r="R99" s="600"/>
      <c r="S99" s="600"/>
      <c r="T99" s="600"/>
      <c r="U99" s="600"/>
      <c r="V99" s="600"/>
      <c r="W99" s="600"/>
      <c r="X99" s="600"/>
      <c r="Y99" s="600"/>
      <c r="Z99" s="600"/>
      <c r="AA99" s="600"/>
      <c r="AB99" s="600"/>
      <c r="AC99" s="600"/>
      <c r="AD99" s="600"/>
      <c r="AE99" s="600"/>
      <c r="AF99" s="600"/>
      <c r="AG99" s="600"/>
      <c r="AH99" s="600"/>
      <c r="AI99" s="600"/>
      <c r="AJ99" s="600"/>
      <c r="AK99" s="600"/>
      <c r="AL99" s="600"/>
      <c r="AM99" s="600"/>
      <c r="AN99" s="600"/>
      <c r="AO99" s="600"/>
      <c r="AP99" s="600"/>
      <c r="AQ99" s="600"/>
      <c r="AR99" s="600"/>
      <c r="AS99" s="600"/>
      <c r="AT99" s="600"/>
      <c r="AU99" s="600"/>
    </row>
    <row r="100" spans="1:47" s="33" customFormat="1" ht="19.5" customHeight="1">
      <c r="A100" s="187" t="s">
        <v>14</v>
      </c>
      <c r="B100" s="188"/>
      <c r="C100" s="163"/>
      <c r="D100" s="97">
        <f>D96+D97+D98+D99</f>
        <v>0</v>
      </c>
      <c r="E100" s="97">
        <f>E96+E97+E98+E99</f>
        <v>0</v>
      </c>
      <c r="F100" s="97">
        <f>F96+F97+F98+F99</f>
        <v>35030.01</v>
      </c>
      <c r="G100" s="97">
        <f>G96+G97+G98+G99</f>
        <v>0</v>
      </c>
      <c r="H100" s="93"/>
      <c r="I100" s="624"/>
      <c r="J100" s="600"/>
      <c r="K100" s="624"/>
      <c r="L100" s="600"/>
      <c r="M100" s="600"/>
      <c r="N100" s="600"/>
      <c r="O100" s="600"/>
      <c r="P100" s="600"/>
      <c r="Q100" s="600"/>
      <c r="R100" s="600"/>
      <c r="S100" s="600"/>
      <c r="T100" s="600"/>
      <c r="U100" s="600"/>
      <c r="V100" s="600"/>
      <c r="W100" s="600"/>
      <c r="X100" s="600"/>
      <c r="Y100" s="600"/>
      <c r="Z100" s="600"/>
      <c r="AA100" s="600"/>
      <c r="AB100" s="600"/>
      <c r="AC100" s="600"/>
      <c r="AD100" s="600"/>
      <c r="AE100" s="600"/>
      <c r="AF100" s="600"/>
      <c r="AG100" s="600"/>
      <c r="AH100" s="600"/>
      <c r="AI100" s="600"/>
      <c r="AJ100" s="600"/>
      <c r="AK100" s="600"/>
      <c r="AL100" s="600"/>
      <c r="AM100" s="600"/>
      <c r="AN100" s="600"/>
      <c r="AO100" s="600"/>
      <c r="AP100" s="600"/>
      <c r="AQ100" s="600"/>
      <c r="AR100" s="600"/>
      <c r="AS100" s="600"/>
      <c r="AT100" s="600"/>
      <c r="AU100" s="600"/>
    </row>
    <row r="101" spans="1:47" s="33" customFormat="1" ht="19.5" customHeight="1">
      <c r="A101" s="91"/>
      <c r="B101" s="92"/>
      <c r="C101" s="92"/>
      <c r="D101" s="93"/>
      <c r="E101" s="93"/>
      <c r="F101" s="93"/>
      <c r="G101" s="93"/>
      <c r="H101" s="93"/>
      <c r="I101" s="624"/>
      <c r="J101" s="600"/>
      <c r="K101" s="624"/>
      <c r="L101" s="600"/>
      <c r="M101" s="600"/>
      <c r="N101" s="600"/>
      <c r="O101" s="600"/>
      <c r="P101" s="600"/>
      <c r="Q101" s="600"/>
      <c r="R101" s="600"/>
      <c r="S101" s="600"/>
      <c r="T101" s="600"/>
      <c r="U101" s="600"/>
      <c r="V101" s="600"/>
      <c r="W101" s="600"/>
      <c r="X101" s="600"/>
      <c r="Y101" s="600"/>
      <c r="Z101" s="600"/>
      <c r="AA101" s="600"/>
      <c r="AB101" s="600"/>
      <c r="AC101" s="600"/>
      <c r="AD101" s="600"/>
      <c r="AE101" s="600"/>
      <c r="AF101" s="600"/>
      <c r="AG101" s="600"/>
      <c r="AH101" s="600"/>
      <c r="AI101" s="600"/>
      <c r="AJ101" s="600"/>
      <c r="AK101" s="600"/>
      <c r="AL101" s="600"/>
      <c r="AM101" s="600"/>
      <c r="AN101" s="600"/>
      <c r="AO101" s="600"/>
      <c r="AP101" s="600"/>
      <c r="AQ101" s="600"/>
      <c r="AR101" s="600"/>
      <c r="AS101" s="600"/>
      <c r="AT101" s="600"/>
      <c r="AU101" s="600"/>
    </row>
    <row r="102" spans="1:47" s="3" customFormat="1" ht="18.75" customHeight="1">
      <c r="A102" s="131" t="s">
        <v>418</v>
      </c>
      <c r="B102" s="99"/>
      <c r="C102" s="100"/>
      <c r="D102" s="16"/>
      <c r="E102" s="16"/>
      <c r="F102" s="27"/>
      <c r="G102" s="27"/>
      <c r="H102" s="20"/>
      <c r="I102" s="598"/>
      <c r="J102" s="598"/>
      <c r="K102" s="598"/>
      <c r="L102" s="598"/>
      <c r="M102" s="598"/>
      <c r="N102" s="598"/>
      <c r="O102" s="598"/>
      <c r="P102" s="598"/>
      <c r="Q102" s="598"/>
      <c r="R102" s="598"/>
      <c r="S102" s="598"/>
      <c r="T102" s="598"/>
      <c r="U102" s="598"/>
      <c r="V102" s="598"/>
      <c r="W102" s="598"/>
      <c r="X102" s="598"/>
      <c r="Y102" s="598"/>
      <c r="Z102" s="598"/>
      <c r="AA102" s="598"/>
      <c r="AB102" s="598"/>
      <c r="AC102" s="598"/>
      <c r="AD102" s="598"/>
      <c r="AE102" s="598"/>
      <c r="AF102" s="598"/>
      <c r="AG102" s="598"/>
      <c r="AH102" s="598"/>
      <c r="AI102" s="598"/>
      <c r="AJ102" s="598"/>
      <c r="AK102" s="598"/>
      <c r="AL102" s="598"/>
      <c r="AM102" s="598"/>
      <c r="AN102" s="598"/>
      <c r="AO102" s="598"/>
      <c r="AP102" s="598"/>
      <c r="AQ102" s="598"/>
      <c r="AR102" s="598"/>
      <c r="AS102" s="598"/>
      <c r="AT102" s="598"/>
      <c r="AU102" s="598"/>
    </row>
    <row r="103" spans="1:47" s="3" customFormat="1" ht="19.5" customHeight="1">
      <c r="A103" s="132" t="s">
        <v>421</v>
      </c>
      <c r="B103" s="99"/>
      <c r="C103" s="133"/>
      <c r="D103" s="22"/>
      <c r="E103" s="16"/>
      <c r="F103" s="27"/>
      <c r="G103" s="27"/>
      <c r="H103" s="20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598"/>
      <c r="V103" s="598"/>
      <c r="W103" s="598"/>
      <c r="X103" s="598"/>
      <c r="Y103" s="598"/>
      <c r="Z103" s="598"/>
      <c r="AA103" s="598"/>
      <c r="AB103" s="598"/>
      <c r="AC103" s="598"/>
      <c r="AD103" s="598"/>
      <c r="AE103" s="598"/>
      <c r="AF103" s="598"/>
      <c r="AG103" s="598"/>
      <c r="AH103" s="598"/>
      <c r="AI103" s="598"/>
      <c r="AJ103" s="598"/>
      <c r="AK103" s="598"/>
      <c r="AL103" s="598"/>
      <c r="AM103" s="598"/>
      <c r="AN103" s="598"/>
      <c r="AO103" s="598"/>
      <c r="AP103" s="598"/>
      <c r="AQ103" s="598"/>
      <c r="AR103" s="598"/>
      <c r="AS103" s="598"/>
      <c r="AT103" s="598"/>
      <c r="AU103" s="598"/>
    </row>
    <row r="104" spans="1:47" s="33" customFormat="1" ht="19.5" customHeight="1">
      <c r="A104" s="631" t="s">
        <v>419</v>
      </c>
      <c r="B104" s="92"/>
      <c r="C104" s="92"/>
      <c r="D104" s="93"/>
      <c r="E104" s="93"/>
      <c r="F104" s="93"/>
      <c r="G104" s="93"/>
      <c r="H104" s="93"/>
      <c r="I104" s="624"/>
      <c r="J104" s="600"/>
      <c r="K104" s="624"/>
      <c r="L104" s="600"/>
      <c r="M104" s="600"/>
      <c r="N104" s="600"/>
      <c r="O104" s="600"/>
      <c r="P104" s="600"/>
      <c r="Q104" s="600"/>
      <c r="R104" s="600"/>
      <c r="S104" s="600"/>
      <c r="T104" s="600"/>
      <c r="U104" s="600"/>
      <c r="V104" s="600"/>
      <c r="W104" s="600"/>
      <c r="X104" s="600"/>
      <c r="Y104" s="600"/>
      <c r="Z104" s="600"/>
      <c r="AA104" s="600"/>
      <c r="AB104" s="600"/>
      <c r="AC104" s="600"/>
      <c r="AD104" s="600"/>
      <c r="AE104" s="600"/>
      <c r="AF104" s="600"/>
      <c r="AG104" s="600"/>
      <c r="AH104" s="600"/>
      <c r="AI104" s="600"/>
      <c r="AJ104" s="600"/>
      <c r="AK104" s="600"/>
      <c r="AL104" s="600"/>
      <c r="AM104" s="600"/>
      <c r="AN104" s="600"/>
      <c r="AO104" s="600"/>
      <c r="AP104" s="600"/>
      <c r="AQ104" s="600"/>
      <c r="AR104" s="600"/>
      <c r="AS104" s="600"/>
      <c r="AT104" s="600"/>
      <c r="AU104" s="600"/>
    </row>
    <row r="105" spans="1:47" s="33" customFormat="1" ht="19.5" customHeight="1">
      <c r="A105" s="91"/>
      <c r="B105" s="92"/>
      <c r="C105" s="92"/>
      <c r="D105" s="93"/>
      <c r="E105" s="93"/>
      <c r="F105" s="93"/>
      <c r="G105" s="93"/>
      <c r="H105" s="93"/>
      <c r="I105" s="624"/>
      <c r="J105" s="600"/>
      <c r="K105" s="624"/>
      <c r="L105" s="600"/>
      <c r="M105" s="600"/>
      <c r="N105" s="600"/>
      <c r="O105" s="600"/>
      <c r="P105" s="600"/>
      <c r="Q105" s="600"/>
      <c r="R105" s="600"/>
      <c r="S105" s="600"/>
      <c r="T105" s="600"/>
      <c r="U105" s="600"/>
      <c r="V105" s="600"/>
      <c r="W105" s="600"/>
      <c r="X105" s="600"/>
      <c r="Y105" s="600"/>
      <c r="Z105" s="600"/>
      <c r="AA105" s="600"/>
      <c r="AB105" s="600"/>
      <c r="AC105" s="600"/>
      <c r="AD105" s="600"/>
      <c r="AE105" s="600"/>
      <c r="AF105" s="600"/>
      <c r="AG105" s="600"/>
      <c r="AH105" s="600"/>
      <c r="AI105" s="600"/>
      <c r="AJ105" s="600"/>
      <c r="AK105" s="600"/>
      <c r="AL105" s="600"/>
      <c r="AM105" s="600"/>
      <c r="AN105" s="600"/>
      <c r="AO105" s="600"/>
      <c r="AP105" s="600"/>
      <c r="AQ105" s="600"/>
      <c r="AR105" s="600"/>
      <c r="AS105" s="600"/>
      <c r="AT105" s="600"/>
      <c r="AU105" s="600"/>
    </row>
    <row r="106" spans="1:47" s="33" customFormat="1" ht="19.5" customHeight="1">
      <c r="A106" s="62" t="s">
        <v>64</v>
      </c>
      <c r="B106" s="92"/>
      <c r="C106" s="92"/>
      <c r="D106" s="93"/>
      <c r="E106" s="93"/>
      <c r="F106" s="93"/>
      <c r="G106" s="93"/>
      <c r="H106" s="93"/>
      <c r="I106" s="624"/>
      <c r="J106" s="600"/>
      <c r="K106" s="624"/>
      <c r="L106" s="600"/>
      <c r="M106" s="600"/>
      <c r="N106" s="600"/>
      <c r="O106" s="600"/>
      <c r="P106" s="600"/>
      <c r="Q106" s="600"/>
      <c r="R106" s="600"/>
      <c r="S106" s="600"/>
      <c r="T106" s="600"/>
      <c r="U106" s="600"/>
      <c r="V106" s="600"/>
      <c r="W106" s="600"/>
      <c r="X106" s="600"/>
      <c r="Y106" s="600"/>
      <c r="Z106" s="600"/>
      <c r="AA106" s="600"/>
      <c r="AB106" s="600"/>
      <c r="AC106" s="600"/>
      <c r="AD106" s="600"/>
      <c r="AE106" s="600"/>
      <c r="AF106" s="600"/>
      <c r="AG106" s="600"/>
      <c r="AH106" s="600"/>
      <c r="AI106" s="600"/>
      <c r="AJ106" s="600"/>
      <c r="AK106" s="600"/>
      <c r="AL106" s="600"/>
      <c r="AM106" s="600"/>
      <c r="AN106" s="600"/>
      <c r="AO106" s="600"/>
      <c r="AP106" s="600"/>
      <c r="AQ106" s="600"/>
      <c r="AR106" s="600"/>
      <c r="AS106" s="600"/>
      <c r="AT106" s="600"/>
      <c r="AU106" s="600"/>
    </row>
    <row r="107" spans="1:47" s="33" customFormat="1" ht="19.5" customHeight="1">
      <c r="A107" s="62"/>
      <c r="B107" s="92"/>
      <c r="C107" s="92"/>
      <c r="D107" s="93"/>
      <c r="E107" s="93"/>
      <c r="F107" s="93"/>
      <c r="G107" s="93"/>
      <c r="H107" s="93"/>
      <c r="I107" s="624"/>
      <c r="J107" s="600"/>
      <c r="K107" s="624"/>
      <c r="L107" s="600"/>
      <c r="M107" s="600"/>
      <c r="N107" s="600"/>
      <c r="O107" s="600"/>
      <c r="P107" s="600"/>
      <c r="Q107" s="600"/>
      <c r="R107" s="600"/>
      <c r="S107" s="600"/>
      <c r="T107" s="600"/>
      <c r="U107" s="600"/>
      <c r="V107" s="600"/>
      <c r="W107" s="600"/>
      <c r="X107" s="600"/>
      <c r="Y107" s="600"/>
      <c r="Z107" s="600"/>
      <c r="AA107" s="600"/>
      <c r="AB107" s="600"/>
      <c r="AC107" s="600"/>
      <c r="AD107" s="600"/>
      <c r="AE107" s="600"/>
      <c r="AF107" s="600"/>
      <c r="AG107" s="600"/>
      <c r="AH107" s="600"/>
      <c r="AI107" s="600"/>
      <c r="AJ107" s="600"/>
      <c r="AK107" s="600"/>
      <c r="AL107" s="600"/>
      <c r="AM107" s="600"/>
      <c r="AN107" s="600"/>
      <c r="AO107" s="600"/>
      <c r="AP107" s="600"/>
      <c r="AQ107" s="600"/>
      <c r="AR107" s="600"/>
      <c r="AS107" s="600"/>
      <c r="AT107" s="600"/>
      <c r="AU107" s="600"/>
    </row>
    <row r="108" spans="1:47" s="170" customFormat="1" ht="19.5" customHeight="1">
      <c r="A108" s="71" t="s">
        <v>420</v>
      </c>
      <c r="B108" s="120"/>
      <c r="C108" s="120"/>
      <c r="D108" s="632"/>
      <c r="E108" s="632"/>
      <c r="F108" s="632"/>
      <c r="G108" s="632"/>
      <c r="H108" s="93">
        <f>H110</f>
        <v>870.36</v>
      </c>
      <c r="I108" s="545"/>
      <c r="J108" s="483"/>
      <c r="K108" s="545"/>
      <c r="L108" s="483"/>
      <c r="M108" s="483"/>
      <c r="N108" s="483"/>
      <c r="O108" s="483"/>
      <c r="P108" s="483"/>
      <c r="Q108" s="483"/>
      <c r="R108" s="483"/>
      <c r="S108" s="483"/>
      <c r="T108" s="483"/>
      <c r="U108" s="483"/>
      <c r="V108" s="483"/>
      <c r="W108" s="483"/>
      <c r="X108" s="483"/>
      <c r="Y108" s="483"/>
      <c r="Z108" s="483"/>
      <c r="AA108" s="483"/>
      <c r="AB108" s="483"/>
      <c r="AC108" s="483"/>
      <c r="AD108" s="483"/>
      <c r="AE108" s="483"/>
      <c r="AF108" s="483"/>
      <c r="AG108" s="483"/>
      <c r="AH108" s="483"/>
      <c r="AI108" s="483"/>
      <c r="AJ108" s="483"/>
      <c r="AK108" s="483"/>
      <c r="AL108" s="483"/>
      <c r="AM108" s="483"/>
      <c r="AN108" s="483"/>
      <c r="AO108" s="483"/>
      <c r="AP108" s="483"/>
      <c r="AQ108" s="483"/>
      <c r="AR108" s="483"/>
      <c r="AS108" s="483"/>
      <c r="AT108" s="483"/>
      <c r="AU108" s="483"/>
    </row>
    <row r="109" spans="1:47" s="170" customFormat="1" ht="19.5" customHeight="1">
      <c r="A109" s="71" t="s">
        <v>4</v>
      </c>
      <c r="B109" s="120"/>
      <c r="C109" s="120"/>
      <c r="D109" s="632"/>
      <c r="E109" s="632"/>
      <c r="F109" s="632"/>
      <c r="G109" s="632"/>
      <c r="H109" s="632"/>
      <c r="I109" s="545"/>
      <c r="J109" s="483"/>
      <c r="K109" s="545"/>
      <c r="L109" s="483"/>
      <c r="M109" s="483"/>
      <c r="N109" s="483"/>
      <c r="O109" s="483"/>
      <c r="P109" s="483"/>
      <c r="Q109" s="483"/>
      <c r="R109" s="483"/>
      <c r="S109" s="483"/>
      <c r="T109" s="483"/>
      <c r="U109" s="483"/>
      <c r="V109" s="483"/>
      <c r="W109" s="483"/>
      <c r="X109" s="483"/>
      <c r="Y109" s="483"/>
      <c r="Z109" s="483"/>
      <c r="AA109" s="483"/>
      <c r="AB109" s="483"/>
      <c r="AC109" s="483"/>
      <c r="AD109" s="483"/>
      <c r="AE109" s="483"/>
      <c r="AF109" s="483"/>
      <c r="AG109" s="483"/>
      <c r="AH109" s="483"/>
      <c r="AI109" s="483"/>
      <c r="AJ109" s="483"/>
      <c r="AK109" s="483"/>
      <c r="AL109" s="483"/>
      <c r="AM109" s="483"/>
      <c r="AN109" s="483"/>
      <c r="AO109" s="483"/>
      <c r="AP109" s="483"/>
      <c r="AQ109" s="483"/>
      <c r="AR109" s="483"/>
      <c r="AS109" s="483"/>
      <c r="AT109" s="483"/>
      <c r="AU109" s="483"/>
    </row>
    <row r="110" spans="1:47" s="170" customFormat="1" ht="19.5" customHeight="1">
      <c r="A110" s="71" t="s">
        <v>422</v>
      </c>
      <c r="B110" s="120"/>
      <c r="C110" s="120"/>
      <c r="D110" s="632"/>
      <c r="E110" s="632"/>
      <c r="F110" s="632"/>
      <c r="G110" s="632"/>
      <c r="H110" s="632">
        <v>870.36</v>
      </c>
      <c r="I110" s="545"/>
      <c r="J110" s="483"/>
      <c r="K110" s="545"/>
      <c r="L110" s="483"/>
      <c r="M110" s="483"/>
      <c r="N110" s="483"/>
      <c r="O110" s="483"/>
      <c r="P110" s="483"/>
      <c r="Q110" s="483"/>
      <c r="R110" s="483"/>
      <c r="S110" s="483"/>
      <c r="T110" s="483"/>
      <c r="U110" s="483"/>
      <c r="V110" s="483"/>
      <c r="W110" s="483"/>
      <c r="X110" s="483"/>
      <c r="Y110" s="483"/>
      <c r="Z110" s="483"/>
      <c r="AA110" s="483"/>
      <c r="AB110" s="483"/>
      <c r="AC110" s="483"/>
      <c r="AD110" s="483"/>
      <c r="AE110" s="483"/>
      <c r="AF110" s="483"/>
      <c r="AG110" s="483"/>
      <c r="AH110" s="483"/>
      <c r="AI110" s="483"/>
      <c r="AJ110" s="483"/>
      <c r="AK110" s="483"/>
      <c r="AL110" s="483"/>
      <c r="AM110" s="483"/>
      <c r="AN110" s="483"/>
      <c r="AO110" s="483"/>
      <c r="AP110" s="483"/>
      <c r="AQ110" s="483"/>
      <c r="AR110" s="483"/>
      <c r="AS110" s="483"/>
      <c r="AT110" s="483"/>
      <c r="AU110" s="483"/>
    </row>
    <row r="111" spans="1:47" s="170" customFormat="1" ht="19.5" customHeight="1">
      <c r="A111" s="71"/>
      <c r="B111" s="120"/>
      <c r="C111" s="120"/>
      <c r="D111" s="632"/>
      <c r="E111" s="632"/>
      <c r="F111" s="632"/>
      <c r="G111" s="632"/>
      <c r="H111" s="632"/>
      <c r="I111" s="545"/>
      <c r="J111" s="483"/>
      <c r="K111" s="545"/>
      <c r="L111" s="483"/>
      <c r="M111" s="483"/>
      <c r="N111" s="483"/>
      <c r="O111" s="483"/>
      <c r="P111" s="483"/>
      <c r="Q111" s="483"/>
      <c r="R111" s="483"/>
      <c r="S111" s="483"/>
      <c r="T111" s="483"/>
      <c r="U111" s="483"/>
      <c r="V111" s="483"/>
      <c r="W111" s="483"/>
      <c r="X111" s="483"/>
      <c r="Y111" s="483"/>
      <c r="Z111" s="483"/>
      <c r="AA111" s="483"/>
      <c r="AB111" s="483"/>
      <c r="AC111" s="483"/>
      <c r="AD111" s="483"/>
      <c r="AE111" s="483"/>
      <c r="AF111" s="483"/>
      <c r="AG111" s="483"/>
      <c r="AH111" s="483"/>
      <c r="AI111" s="483"/>
      <c r="AJ111" s="483"/>
      <c r="AK111" s="483"/>
      <c r="AL111" s="483"/>
      <c r="AM111" s="483"/>
      <c r="AN111" s="483"/>
      <c r="AO111" s="483"/>
      <c r="AP111" s="483"/>
      <c r="AQ111" s="483"/>
      <c r="AR111" s="483"/>
      <c r="AS111" s="483"/>
      <c r="AT111" s="483"/>
      <c r="AU111" s="483"/>
    </row>
    <row r="112" spans="1:47" s="170" customFormat="1" ht="19.5" customHeight="1">
      <c r="A112" s="71" t="s">
        <v>17</v>
      </c>
      <c r="B112" s="120"/>
      <c r="C112" s="120"/>
      <c r="D112" s="632"/>
      <c r="E112" s="632"/>
      <c r="F112" s="632"/>
      <c r="G112" s="632"/>
      <c r="H112" s="93">
        <f>H114</f>
        <v>870.36</v>
      </c>
      <c r="I112" s="545"/>
      <c r="J112" s="483"/>
      <c r="K112" s="545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483"/>
      <c r="W112" s="483"/>
      <c r="X112" s="483"/>
      <c r="Y112" s="483"/>
      <c r="Z112" s="483"/>
      <c r="AA112" s="483"/>
      <c r="AB112" s="483"/>
      <c r="AC112" s="483"/>
      <c r="AD112" s="483"/>
      <c r="AE112" s="483"/>
      <c r="AF112" s="483"/>
      <c r="AG112" s="483"/>
      <c r="AH112" s="483"/>
      <c r="AI112" s="483"/>
      <c r="AJ112" s="483"/>
      <c r="AK112" s="483"/>
      <c r="AL112" s="483"/>
      <c r="AM112" s="483"/>
      <c r="AN112" s="483"/>
      <c r="AO112" s="483"/>
      <c r="AP112" s="483"/>
      <c r="AQ112" s="483"/>
      <c r="AR112" s="483"/>
      <c r="AS112" s="483"/>
      <c r="AT112" s="483"/>
      <c r="AU112" s="483"/>
    </row>
    <row r="113" spans="1:47" s="170" customFormat="1" ht="19.5" customHeight="1">
      <c r="A113" s="71" t="s">
        <v>4</v>
      </c>
      <c r="B113" s="120"/>
      <c r="C113" s="120"/>
      <c r="D113" s="632"/>
      <c r="E113" s="632"/>
      <c r="F113" s="632"/>
      <c r="G113" s="632"/>
      <c r="H113" s="632"/>
      <c r="I113" s="545"/>
      <c r="J113" s="483"/>
      <c r="K113" s="545"/>
      <c r="L113" s="483"/>
      <c r="M113" s="483"/>
      <c r="N113" s="483"/>
      <c r="O113" s="483"/>
      <c r="P113" s="483"/>
      <c r="Q113" s="483"/>
      <c r="R113" s="483"/>
      <c r="S113" s="483"/>
      <c r="T113" s="483"/>
      <c r="U113" s="483"/>
      <c r="V113" s="483"/>
      <c r="W113" s="483"/>
      <c r="X113" s="483"/>
      <c r="Y113" s="483"/>
      <c r="Z113" s="483"/>
      <c r="AA113" s="483"/>
      <c r="AB113" s="483"/>
      <c r="AC113" s="483"/>
      <c r="AD113" s="483"/>
      <c r="AE113" s="483"/>
      <c r="AF113" s="483"/>
      <c r="AG113" s="483"/>
      <c r="AH113" s="483"/>
      <c r="AI113" s="483"/>
      <c r="AJ113" s="483"/>
      <c r="AK113" s="483"/>
      <c r="AL113" s="483"/>
      <c r="AM113" s="483"/>
      <c r="AN113" s="483"/>
      <c r="AO113" s="483"/>
      <c r="AP113" s="483"/>
      <c r="AQ113" s="483"/>
      <c r="AR113" s="483"/>
      <c r="AS113" s="483"/>
      <c r="AT113" s="483"/>
      <c r="AU113" s="483"/>
    </row>
    <row r="114" spans="1:47" s="170" customFormat="1" ht="19.5" customHeight="1">
      <c r="A114" s="71" t="s">
        <v>423</v>
      </c>
      <c r="B114" s="120"/>
      <c r="C114" s="120"/>
      <c r="D114" s="632"/>
      <c r="E114" s="632"/>
      <c r="F114" s="632"/>
      <c r="G114" s="632"/>
      <c r="H114" s="632">
        <v>870.36</v>
      </c>
      <c r="I114" s="545"/>
      <c r="J114" s="483"/>
      <c r="K114" s="545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483"/>
      <c r="W114" s="483"/>
      <c r="X114" s="483"/>
      <c r="Y114" s="483"/>
      <c r="Z114" s="483"/>
      <c r="AA114" s="483"/>
      <c r="AB114" s="483"/>
      <c r="AC114" s="483"/>
      <c r="AD114" s="483"/>
      <c r="AE114" s="483"/>
      <c r="AF114" s="483"/>
      <c r="AG114" s="483"/>
      <c r="AH114" s="483"/>
      <c r="AI114" s="483"/>
      <c r="AJ114" s="483"/>
      <c r="AK114" s="483"/>
      <c r="AL114" s="483"/>
      <c r="AM114" s="483"/>
      <c r="AN114" s="483"/>
      <c r="AO114" s="483"/>
      <c r="AP114" s="483"/>
      <c r="AQ114" s="483"/>
      <c r="AR114" s="483"/>
      <c r="AS114" s="483"/>
      <c r="AT114" s="483"/>
      <c r="AU114" s="483"/>
    </row>
    <row r="115" spans="1:47" s="170" customFormat="1" ht="19.5" customHeight="1">
      <c r="A115" s="71"/>
      <c r="B115" s="120"/>
      <c r="C115" s="120"/>
      <c r="D115" s="632"/>
      <c r="E115" s="632"/>
      <c r="F115" s="632"/>
      <c r="G115" s="632"/>
      <c r="H115" s="632"/>
      <c r="I115" s="545"/>
      <c r="J115" s="483"/>
      <c r="K115" s="545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483"/>
      <c r="W115" s="483"/>
      <c r="X115" s="483"/>
      <c r="Y115" s="483"/>
      <c r="Z115" s="483"/>
      <c r="AA115" s="483"/>
      <c r="AB115" s="483"/>
      <c r="AC115" s="483"/>
      <c r="AD115" s="483"/>
      <c r="AE115" s="483"/>
      <c r="AF115" s="483"/>
      <c r="AG115" s="483"/>
      <c r="AH115" s="483"/>
      <c r="AI115" s="483"/>
      <c r="AJ115" s="483"/>
      <c r="AK115" s="483"/>
      <c r="AL115" s="483"/>
      <c r="AM115" s="483"/>
      <c r="AN115" s="483"/>
      <c r="AO115" s="483"/>
      <c r="AP115" s="483"/>
      <c r="AQ115" s="483"/>
      <c r="AR115" s="483"/>
      <c r="AS115" s="483"/>
      <c r="AT115" s="483"/>
      <c r="AU115" s="483"/>
    </row>
    <row r="116" spans="1:47" s="28" customFormat="1" ht="15.75">
      <c r="A116" s="98"/>
      <c r="B116" s="98"/>
      <c r="C116" s="596"/>
      <c r="I116" s="485"/>
      <c r="J116" s="485"/>
      <c r="K116" s="488"/>
      <c r="L116" s="485"/>
      <c r="M116" s="485"/>
      <c r="N116" s="485"/>
      <c r="O116" s="485"/>
      <c r="P116" s="485"/>
      <c r="Q116" s="485"/>
      <c r="R116" s="485"/>
      <c r="S116" s="485"/>
      <c r="T116" s="485"/>
      <c r="U116" s="485"/>
      <c r="V116" s="485"/>
      <c r="W116" s="485"/>
      <c r="X116" s="485"/>
      <c r="Y116" s="485"/>
      <c r="Z116" s="485"/>
      <c r="AA116" s="485"/>
      <c r="AB116" s="485"/>
      <c r="AC116" s="485"/>
      <c r="AD116" s="485"/>
      <c r="AE116" s="485"/>
      <c r="AF116" s="485"/>
      <c r="AG116" s="485"/>
      <c r="AH116" s="485"/>
      <c r="AI116" s="485"/>
      <c r="AJ116" s="485"/>
      <c r="AK116" s="485"/>
      <c r="AL116" s="485"/>
      <c r="AM116" s="485"/>
      <c r="AN116" s="485"/>
      <c r="AO116" s="485"/>
      <c r="AP116" s="485"/>
      <c r="AQ116" s="485"/>
      <c r="AR116" s="485"/>
      <c r="AS116" s="485"/>
      <c r="AT116" s="485"/>
      <c r="AU116" s="485"/>
    </row>
    <row r="117" spans="1:47" s="28" customFormat="1" ht="15.75">
      <c r="A117" s="50" t="s">
        <v>441</v>
      </c>
      <c r="B117" s="99"/>
      <c r="C117" s="100"/>
      <c r="H117" s="1"/>
      <c r="I117" s="485"/>
      <c r="J117" s="485"/>
      <c r="K117" s="488"/>
      <c r="L117" s="485"/>
      <c r="M117" s="485"/>
      <c r="N117" s="485"/>
      <c r="O117" s="485"/>
      <c r="P117" s="485"/>
      <c r="Q117" s="485"/>
      <c r="R117" s="485"/>
      <c r="S117" s="485"/>
      <c r="T117" s="485"/>
      <c r="U117" s="485"/>
      <c r="V117" s="485"/>
      <c r="W117" s="485"/>
      <c r="X117" s="485"/>
      <c r="Y117" s="485"/>
      <c r="Z117" s="485"/>
      <c r="AA117" s="485"/>
      <c r="AB117" s="485"/>
      <c r="AC117" s="485"/>
      <c r="AD117" s="485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485"/>
      <c r="AP117" s="485"/>
      <c r="AQ117" s="485"/>
      <c r="AR117" s="485"/>
      <c r="AS117" s="485"/>
      <c r="AT117" s="485"/>
      <c r="AU117" s="485"/>
    </row>
    <row r="118" spans="1:8" ht="15.75">
      <c r="A118" s="98"/>
      <c r="B118" s="98"/>
      <c r="C118" s="596"/>
      <c r="D118" s="28"/>
      <c r="E118" s="28"/>
      <c r="F118" s="28"/>
      <c r="G118" s="28"/>
      <c r="H118" s="1"/>
    </row>
    <row r="119" spans="1:8" ht="18.75">
      <c r="A119" s="50"/>
      <c r="B119" s="99"/>
      <c r="C119" s="100"/>
      <c r="D119" s="16"/>
      <c r="E119" s="16"/>
      <c r="F119" s="16"/>
      <c r="G119" s="16"/>
      <c r="H119" s="17"/>
    </row>
    <row r="120" spans="1:10" ht="15.75">
      <c r="A120" s="50"/>
      <c r="B120" s="101" t="s">
        <v>30</v>
      </c>
      <c r="C120" s="102"/>
      <c r="D120" s="16"/>
      <c r="E120" s="16"/>
      <c r="F120" s="16"/>
      <c r="G120" s="16"/>
      <c r="H120" s="103">
        <f>H123+H138</f>
        <v>428410824.43000007</v>
      </c>
      <c r="I120" s="599"/>
      <c r="J120" s="599"/>
    </row>
    <row r="121" spans="1:10" ht="15.75">
      <c r="A121" s="50"/>
      <c r="B121" s="101" t="s">
        <v>27</v>
      </c>
      <c r="C121" s="102"/>
      <c r="D121" s="16"/>
      <c r="E121" s="16"/>
      <c r="F121" s="16"/>
      <c r="G121" s="16"/>
      <c r="H121" s="103">
        <f>H124+H139</f>
        <v>428296789.05</v>
      </c>
      <c r="I121" s="599"/>
      <c r="J121" s="599"/>
    </row>
    <row r="122" spans="1:8" ht="15.75">
      <c r="A122" s="50"/>
      <c r="B122" s="104" t="s">
        <v>25</v>
      </c>
      <c r="C122" s="100"/>
      <c r="D122" s="16"/>
      <c r="E122" s="16"/>
      <c r="F122" s="16"/>
      <c r="G122" s="16"/>
      <c r="H122" s="103"/>
    </row>
    <row r="123" spans="1:10" ht="15.75">
      <c r="A123" s="106" t="s">
        <v>31</v>
      </c>
      <c r="B123" s="106"/>
      <c r="C123" s="592"/>
      <c r="D123" s="65"/>
      <c r="E123" s="61"/>
      <c r="F123" s="61"/>
      <c r="G123" s="16"/>
      <c r="H123" s="103">
        <f>H126+H134</f>
        <v>310977852.90000004</v>
      </c>
      <c r="J123" s="599"/>
    </row>
    <row r="124" spans="1:10" ht="15.75">
      <c r="A124" s="106"/>
      <c r="B124" s="107" t="s">
        <v>27</v>
      </c>
      <c r="C124" s="592"/>
      <c r="D124" s="65"/>
      <c r="E124" s="61"/>
      <c r="F124" s="61"/>
      <c r="G124" s="16"/>
      <c r="H124" s="103">
        <f>H127+H135</f>
        <v>310890904.13</v>
      </c>
      <c r="I124" s="599"/>
      <c r="J124" s="599"/>
    </row>
    <row r="125" spans="1:10" ht="15.75">
      <c r="A125" s="60" t="s">
        <v>5</v>
      </c>
      <c r="B125" s="60" t="s">
        <v>32</v>
      </c>
      <c r="C125" s="593"/>
      <c r="D125" s="61"/>
      <c r="E125" s="61"/>
      <c r="F125" s="61"/>
      <c r="G125" s="16"/>
      <c r="H125" s="103"/>
      <c r="J125" s="599"/>
    </row>
    <row r="126" spans="1:8" ht="15.75">
      <c r="A126" s="108" t="s">
        <v>33</v>
      </c>
      <c r="B126" s="108"/>
      <c r="C126" s="594"/>
      <c r="D126" s="109"/>
      <c r="E126" s="61"/>
      <c r="F126" s="61"/>
      <c r="G126" s="16"/>
      <c r="H126" s="103">
        <v>271556223.05</v>
      </c>
    </row>
    <row r="127" spans="1:9" ht="15.75">
      <c r="A127" s="108"/>
      <c r="B127" s="110" t="s">
        <v>27</v>
      </c>
      <c r="C127" s="594"/>
      <c r="D127" s="109"/>
      <c r="E127" s="65"/>
      <c r="F127" s="109"/>
      <c r="G127" s="111"/>
      <c r="H127" s="103">
        <f>H126-D258+D257+F258-F218-F170-F167-F253</f>
        <v>271452598.51</v>
      </c>
      <c r="I127" s="599"/>
    </row>
    <row r="128" spans="1:8" ht="15.75">
      <c r="A128" s="108"/>
      <c r="B128" s="110" t="s">
        <v>4</v>
      </c>
      <c r="C128" s="594"/>
      <c r="D128" s="109"/>
      <c r="E128" s="65"/>
      <c r="F128" s="109"/>
      <c r="G128" s="16"/>
      <c r="H128" s="103"/>
    </row>
    <row r="129" spans="1:8" ht="15.75">
      <c r="A129" s="108"/>
      <c r="B129" s="160" t="s">
        <v>55</v>
      </c>
      <c r="C129" s="595"/>
      <c r="D129" s="61"/>
      <c r="E129" s="65"/>
      <c r="F129" s="109"/>
      <c r="G129" s="16"/>
      <c r="H129" s="103"/>
    </row>
    <row r="130" spans="1:8" ht="15.75">
      <c r="A130" s="108"/>
      <c r="B130" s="160" t="s">
        <v>56</v>
      </c>
      <c r="C130" s="595"/>
      <c r="D130" s="61"/>
      <c r="E130" s="65"/>
      <c r="F130" s="109"/>
      <c r="G130" s="16"/>
      <c r="H130" s="105">
        <v>1579498.49</v>
      </c>
    </row>
    <row r="131" spans="1:9" ht="15.75">
      <c r="A131" s="108"/>
      <c r="B131" s="190" t="s">
        <v>27</v>
      </c>
      <c r="C131" s="594"/>
      <c r="D131" s="109"/>
      <c r="E131" s="65"/>
      <c r="F131" s="109"/>
      <c r="G131" s="16"/>
      <c r="H131" s="105">
        <f>H130-D219</f>
        <v>1466475.1</v>
      </c>
      <c r="I131" s="599"/>
    </row>
    <row r="132" spans="1:8" ht="15.75">
      <c r="A132" s="58"/>
      <c r="B132" s="59"/>
      <c r="C132" s="592"/>
      <c r="D132" s="26"/>
      <c r="E132" s="65"/>
      <c r="F132" s="109"/>
      <c r="G132" s="16"/>
      <c r="H132" s="103"/>
    </row>
    <row r="133" spans="1:8" ht="15.75">
      <c r="A133" s="108"/>
      <c r="B133" s="110"/>
      <c r="C133" s="594"/>
      <c r="D133" s="109"/>
      <c r="E133" s="65"/>
      <c r="F133" s="109"/>
      <c r="G133" s="16"/>
      <c r="H133" s="103"/>
    </row>
    <row r="134" spans="1:8" ht="15.75">
      <c r="A134" s="108" t="s">
        <v>34</v>
      </c>
      <c r="B134" s="108"/>
      <c r="C134" s="592"/>
      <c r="D134" s="109"/>
      <c r="E134" s="65"/>
      <c r="F134" s="109"/>
      <c r="G134" s="16"/>
      <c r="H134" s="103">
        <f>39437129.85-15500</f>
        <v>39421629.85</v>
      </c>
    </row>
    <row r="135" spans="1:10" ht="15.75">
      <c r="A135" s="108"/>
      <c r="B135" s="110" t="s">
        <v>27</v>
      </c>
      <c r="C135" s="592"/>
      <c r="D135" s="109"/>
      <c r="E135" s="65"/>
      <c r="F135" s="109"/>
      <c r="G135" s="16"/>
      <c r="H135" s="103">
        <f>H134-D257+F218+F170+F167+F253</f>
        <v>39438305.62</v>
      </c>
      <c r="I135" s="599"/>
      <c r="J135" s="599"/>
    </row>
    <row r="136" spans="1:10" ht="15.75">
      <c r="A136" s="108"/>
      <c r="B136" s="110"/>
      <c r="C136" s="592"/>
      <c r="D136" s="109"/>
      <c r="E136" s="65"/>
      <c r="F136" s="109"/>
      <c r="G136" s="16"/>
      <c r="H136" s="103"/>
      <c r="I136" s="599"/>
      <c r="J136" s="599"/>
    </row>
    <row r="137" spans="1:9" ht="15.75">
      <c r="A137" s="108"/>
      <c r="B137" s="110"/>
      <c r="C137" s="592"/>
      <c r="D137" s="109"/>
      <c r="E137" s="65"/>
      <c r="F137" s="109"/>
      <c r="G137" s="16"/>
      <c r="H137" s="103"/>
      <c r="I137" s="599"/>
    </row>
    <row r="138" spans="1:8" ht="15.75">
      <c r="A138" s="106" t="s">
        <v>35</v>
      </c>
      <c r="B138" s="106"/>
      <c r="C138" s="592"/>
      <c r="D138" s="65"/>
      <c r="E138" s="65"/>
      <c r="F138" s="109"/>
      <c r="G138" s="16"/>
      <c r="H138" s="103">
        <f>H141+H145</f>
        <v>117432971.53</v>
      </c>
    </row>
    <row r="139" spans="1:10" ht="15.75">
      <c r="A139" s="106"/>
      <c r="B139" s="107" t="s">
        <v>27</v>
      </c>
      <c r="C139" s="592"/>
      <c r="D139" s="65"/>
      <c r="E139" s="65"/>
      <c r="F139" s="109"/>
      <c r="H139" s="54">
        <f>H142+H146</f>
        <v>117405884.92</v>
      </c>
      <c r="I139" s="599"/>
      <c r="J139" s="599"/>
    </row>
    <row r="140" spans="1:8" ht="15.75">
      <c r="A140" s="60" t="s">
        <v>5</v>
      </c>
      <c r="B140" s="60" t="s">
        <v>32</v>
      </c>
      <c r="C140" s="593"/>
      <c r="D140" s="61"/>
      <c r="E140" s="65"/>
      <c r="F140" s="109"/>
      <c r="H140" s="54"/>
    </row>
    <row r="141" spans="1:8" ht="15.75">
      <c r="A141" s="108" t="s">
        <v>33</v>
      </c>
      <c r="B141" s="108"/>
      <c r="C141" s="594"/>
      <c r="D141" s="109"/>
      <c r="E141" s="65"/>
      <c r="F141" s="109"/>
      <c r="G141" s="16"/>
      <c r="H141" s="103">
        <f>107454470.23+14953+220000</f>
        <v>107689423.23</v>
      </c>
    </row>
    <row r="142" spans="1:9" ht="15.75">
      <c r="A142" s="108"/>
      <c r="B142" s="110" t="s">
        <v>27</v>
      </c>
      <c r="C142" s="594"/>
      <c r="D142" s="109"/>
      <c r="E142" s="65"/>
      <c r="F142" s="109"/>
      <c r="G142" s="16"/>
      <c r="H142" s="103">
        <f>H141-D352+F352-F271+D268</f>
        <v>107687536.62</v>
      </c>
      <c r="I142" s="599"/>
    </row>
    <row r="143" spans="1:8" ht="15.75">
      <c r="A143" s="108"/>
      <c r="B143" s="110"/>
      <c r="C143" s="594"/>
      <c r="D143" s="109"/>
      <c r="E143" s="65"/>
      <c r="F143" s="109"/>
      <c r="G143" s="16"/>
      <c r="H143" s="103"/>
    </row>
    <row r="144" spans="1:8" ht="15.75">
      <c r="A144" s="108"/>
      <c r="B144" s="110"/>
      <c r="C144" s="594"/>
      <c r="D144" s="109"/>
      <c r="E144" s="65"/>
      <c r="F144" s="109"/>
      <c r="G144" s="16"/>
      <c r="H144" s="103"/>
    </row>
    <row r="145" spans="1:9" ht="15.75">
      <c r="A145" s="108" t="s">
        <v>34</v>
      </c>
      <c r="B145" s="108"/>
      <c r="C145" s="592"/>
      <c r="D145" s="109"/>
      <c r="E145" s="65"/>
      <c r="F145" s="109"/>
      <c r="G145" s="16"/>
      <c r="H145" s="103">
        <f>9963576.3-220028</f>
        <v>9743548.3</v>
      </c>
      <c r="I145" s="599"/>
    </row>
    <row r="146" spans="1:10" ht="15.75">
      <c r="A146" s="108"/>
      <c r="B146" s="110" t="s">
        <v>27</v>
      </c>
      <c r="C146" s="592"/>
      <c r="D146" s="109"/>
      <c r="E146" s="65"/>
      <c r="F146" s="109"/>
      <c r="G146" s="16"/>
      <c r="H146" s="103">
        <f>H145+F271-D268</f>
        <v>9718348.3</v>
      </c>
      <c r="I146" s="599"/>
      <c r="J146" s="599"/>
    </row>
    <row r="147" spans="1:10" ht="15.75">
      <c r="A147" s="108"/>
      <c r="B147" s="110"/>
      <c r="C147" s="592"/>
      <c r="D147" s="109"/>
      <c r="E147" s="65"/>
      <c r="F147" s="109"/>
      <c r="G147" s="16"/>
      <c r="H147" s="103"/>
      <c r="I147" s="599"/>
      <c r="J147" s="599"/>
    </row>
    <row r="148" spans="1:10" ht="15.75">
      <c r="A148" s="108"/>
      <c r="B148" s="110"/>
      <c r="C148" s="594"/>
      <c r="D148" s="109"/>
      <c r="E148" s="65"/>
      <c r="F148" s="109"/>
      <c r="G148" s="16"/>
      <c r="H148" s="103"/>
      <c r="J148" s="599"/>
    </row>
    <row r="149" spans="1:8" ht="18.75">
      <c r="A149" s="112" t="s">
        <v>18</v>
      </c>
      <c r="B149" s="113"/>
      <c r="C149" s="114"/>
      <c r="D149" s="18"/>
      <c r="E149" s="18"/>
      <c r="F149" s="18"/>
      <c r="G149" s="18"/>
      <c r="H149" s="21"/>
    </row>
    <row r="150" spans="1:8" ht="15" customHeight="1">
      <c r="A150" s="112"/>
      <c r="B150" s="113"/>
      <c r="C150" s="114"/>
      <c r="D150" s="18"/>
      <c r="E150" s="18"/>
      <c r="F150" s="18"/>
      <c r="G150" s="18"/>
      <c r="H150" s="21"/>
    </row>
    <row r="151" spans="1:8" ht="18.75">
      <c r="A151" s="115" t="s">
        <v>57</v>
      </c>
      <c r="B151" s="115"/>
      <c r="C151" s="116"/>
      <c r="D151" s="19"/>
      <c r="E151" s="19"/>
      <c r="F151" s="19"/>
      <c r="G151" s="19"/>
      <c r="H151" s="17"/>
    </row>
    <row r="152" spans="1:8" ht="15" customHeight="1">
      <c r="A152" s="115"/>
      <c r="B152" s="115"/>
      <c r="C152" s="116"/>
      <c r="D152" s="19"/>
      <c r="E152" s="19"/>
      <c r="F152" s="19"/>
      <c r="G152" s="19"/>
      <c r="H152" s="17"/>
    </row>
    <row r="153" spans="1:8" ht="18.75">
      <c r="A153" s="74"/>
      <c r="B153" s="74"/>
      <c r="C153" s="75"/>
      <c r="D153" s="10" t="s">
        <v>2</v>
      </c>
      <c r="E153" s="11"/>
      <c r="F153" s="10" t="s">
        <v>3</v>
      </c>
      <c r="G153" s="11"/>
      <c r="H153" s="17"/>
    </row>
    <row r="154" spans="1:8" ht="13.5" customHeight="1">
      <c r="A154" s="76"/>
      <c r="B154" s="76"/>
      <c r="C154" s="77"/>
      <c r="D154" s="12" t="s">
        <v>5</v>
      </c>
      <c r="E154" s="11" t="s">
        <v>4</v>
      </c>
      <c r="F154" s="12" t="s">
        <v>5</v>
      </c>
      <c r="G154" s="11" t="s">
        <v>4</v>
      </c>
      <c r="H154" s="17"/>
    </row>
    <row r="155" spans="1:8" ht="27.75" customHeight="1">
      <c r="A155" s="78" t="s">
        <v>7</v>
      </c>
      <c r="B155" s="78" t="s">
        <v>13</v>
      </c>
      <c r="C155" s="78" t="s">
        <v>8</v>
      </c>
      <c r="D155" s="13" t="s">
        <v>9</v>
      </c>
      <c r="E155" s="14" t="s">
        <v>10</v>
      </c>
      <c r="F155" s="13" t="s">
        <v>9</v>
      </c>
      <c r="G155" s="14" t="s">
        <v>10</v>
      </c>
      <c r="H155" s="17"/>
    </row>
    <row r="156" spans="1:47" s="33" customFormat="1" ht="19.5" customHeight="1">
      <c r="A156" s="81" t="s">
        <v>445</v>
      </c>
      <c r="B156" s="117"/>
      <c r="C156" s="79"/>
      <c r="D156" s="178">
        <f>D157</f>
        <v>105000</v>
      </c>
      <c r="E156" s="585"/>
      <c r="F156" s="178">
        <f>F157</f>
        <v>2000</v>
      </c>
      <c r="G156" s="585"/>
      <c r="H156" s="29"/>
      <c r="I156" s="600"/>
      <c r="J156" s="600"/>
      <c r="K156" s="624"/>
      <c r="L156" s="600"/>
      <c r="M156" s="600"/>
      <c r="N156" s="600"/>
      <c r="O156" s="600"/>
      <c r="P156" s="600"/>
      <c r="Q156" s="600"/>
      <c r="R156" s="600"/>
      <c r="S156" s="600"/>
      <c r="T156" s="600"/>
      <c r="U156" s="600"/>
      <c r="V156" s="600"/>
      <c r="W156" s="600"/>
      <c r="X156" s="600"/>
      <c r="Y156" s="600"/>
      <c r="Z156" s="600"/>
      <c r="AA156" s="600"/>
      <c r="AB156" s="600"/>
      <c r="AC156" s="600"/>
      <c r="AD156" s="600"/>
      <c r="AE156" s="600"/>
      <c r="AF156" s="600"/>
      <c r="AG156" s="600"/>
      <c r="AH156" s="600"/>
      <c r="AI156" s="600"/>
      <c r="AJ156" s="600"/>
      <c r="AK156" s="600"/>
      <c r="AL156" s="600"/>
      <c r="AM156" s="600"/>
      <c r="AN156" s="600"/>
      <c r="AO156" s="600"/>
      <c r="AP156" s="600"/>
      <c r="AQ156" s="600"/>
      <c r="AR156" s="600"/>
      <c r="AS156" s="600"/>
      <c r="AT156" s="600"/>
      <c r="AU156" s="600"/>
    </row>
    <row r="157" spans="1:47" s="170" customFormat="1" ht="19.5" customHeight="1">
      <c r="A157" s="83"/>
      <c r="B157" s="84" t="s">
        <v>475</v>
      </c>
      <c r="C157" s="162"/>
      <c r="D157" s="175">
        <f>SUM(D158:D165)</f>
        <v>105000</v>
      </c>
      <c r="E157" s="487"/>
      <c r="F157" s="175">
        <f>SUM(F158:F165)</f>
        <v>2000</v>
      </c>
      <c r="G157" s="487"/>
      <c r="H157" s="28"/>
      <c r="I157" s="483"/>
      <c r="J157" s="483"/>
      <c r="K157" s="545"/>
      <c r="L157" s="483"/>
      <c r="M157" s="483"/>
      <c r="N157" s="483"/>
      <c r="O157" s="483"/>
      <c r="P157" s="483"/>
      <c r="Q157" s="483"/>
      <c r="R157" s="483"/>
      <c r="S157" s="483"/>
      <c r="T157" s="483"/>
      <c r="U157" s="483"/>
      <c r="V157" s="483"/>
      <c r="W157" s="483"/>
      <c r="X157" s="483"/>
      <c r="Y157" s="483"/>
      <c r="Z157" s="483"/>
      <c r="AA157" s="483"/>
      <c r="AB157" s="483"/>
      <c r="AC157" s="483"/>
      <c r="AD157" s="483"/>
      <c r="AE157" s="483"/>
      <c r="AF157" s="483"/>
      <c r="AG157" s="483"/>
      <c r="AH157" s="483"/>
      <c r="AI157" s="483"/>
      <c r="AJ157" s="483"/>
      <c r="AK157" s="483"/>
      <c r="AL157" s="483"/>
      <c r="AM157" s="483"/>
      <c r="AN157" s="483"/>
      <c r="AO157" s="483"/>
      <c r="AP157" s="483"/>
      <c r="AQ157" s="483"/>
      <c r="AR157" s="483"/>
      <c r="AS157" s="483"/>
      <c r="AT157" s="483"/>
      <c r="AU157" s="483"/>
    </row>
    <row r="158" spans="1:47" s="170" customFormat="1" ht="19.5" customHeight="1">
      <c r="A158" s="186"/>
      <c r="B158" s="83"/>
      <c r="C158" s="85" t="s">
        <v>75</v>
      </c>
      <c r="D158" s="175">
        <v>1900</v>
      </c>
      <c r="E158" s="487"/>
      <c r="F158" s="175"/>
      <c r="G158" s="487"/>
      <c r="H158" s="28"/>
      <c r="I158" s="483"/>
      <c r="J158" s="483"/>
      <c r="K158" s="545"/>
      <c r="L158" s="483"/>
      <c r="M158" s="483"/>
      <c r="N158" s="483"/>
      <c r="O158" s="483"/>
      <c r="P158" s="483"/>
      <c r="Q158" s="483"/>
      <c r="R158" s="483"/>
      <c r="S158" s="483"/>
      <c r="T158" s="483"/>
      <c r="U158" s="483"/>
      <c r="V158" s="483"/>
      <c r="W158" s="483"/>
      <c r="X158" s="483"/>
      <c r="Y158" s="483"/>
      <c r="Z158" s="483"/>
      <c r="AA158" s="483"/>
      <c r="AB158" s="483"/>
      <c r="AC158" s="483"/>
      <c r="AD158" s="483"/>
      <c r="AE158" s="483"/>
      <c r="AF158" s="483"/>
      <c r="AG158" s="483"/>
      <c r="AH158" s="483"/>
      <c r="AI158" s="483"/>
      <c r="AJ158" s="483"/>
      <c r="AK158" s="483"/>
      <c r="AL158" s="483"/>
      <c r="AM158" s="483"/>
      <c r="AN158" s="483"/>
      <c r="AO158" s="483"/>
      <c r="AP158" s="483"/>
      <c r="AQ158" s="483"/>
      <c r="AR158" s="483"/>
      <c r="AS158" s="483"/>
      <c r="AT158" s="483"/>
      <c r="AU158" s="483"/>
    </row>
    <row r="159" spans="1:47" s="170" customFormat="1" ht="19.5" customHeight="1">
      <c r="A159" s="186"/>
      <c r="B159" s="87"/>
      <c r="C159" s="85" t="s">
        <v>467</v>
      </c>
      <c r="D159" s="175">
        <f>6500+30000</f>
        <v>36500</v>
      </c>
      <c r="E159" s="487"/>
      <c r="F159" s="175"/>
      <c r="G159" s="487"/>
      <c r="H159" s="28"/>
      <c r="I159" s="483"/>
      <c r="J159" s="483"/>
      <c r="K159" s="545"/>
      <c r="L159" s="483"/>
      <c r="M159" s="483"/>
      <c r="N159" s="483"/>
      <c r="O159" s="483"/>
      <c r="P159" s="483"/>
      <c r="Q159" s="483"/>
      <c r="R159" s="483"/>
      <c r="S159" s="483"/>
      <c r="T159" s="483"/>
      <c r="U159" s="483"/>
      <c r="V159" s="483"/>
      <c r="W159" s="483"/>
      <c r="X159" s="483"/>
      <c r="Y159" s="483"/>
      <c r="Z159" s="483"/>
      <c r="AA159" s="483"/>
      <c r="AB159" s="483"/>
      <c r="AC159" s="483"/>
      <c r="AD159" s="483"/>
      <c r="AE159" s="483"/>
      <c r="AF159" s="483"/>
      <c r="AG159" s="483"/>
      <c r="AH159" s="483"/>
      <c r="AI159" s="483"/>
      <c r="AJ159" s="483"/>
      <c r="AK159" s="483"/>
      <c r="AL159" s="483"/>
      <c r="AM159" s="483"/>
      <c r="AN159" s="483"/>
      <c r="AO159" s="483"/>
      <c r="AP159" s="483"/>
      <c r="AQ159" s="483"/>
      <c r="AR159" s="483"/>
      <c r="AS159" s="483"/>
      <c r="AT159" s="483"/>
      <c r="AU159" s="483"/>
    </row>
    <row r="160" spans="1:47" s="170" customFormat="1" ht="19.5" customHeight="1">
      <c r="A160" s="186"/>
      <c r="B160" s="87"/>
      <c r="C160" s="85" t="s">
        <v>468</v>
      </c>
      <c r="D160" s="175">
        <v>4300</v>
      </c>
      <c r="E160" s="487"/>
      <c r="F160" s="175"/>
      <c r="G160" s="487"/>
      <c r="H160" s="28"/>
      <c r="I160" s="483"/>
      <c r="J160" s="483"/>
      <c r="K160" s="545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483"/>
      <c r="W160" s="483"/>
      <c r="X160" s="483"/>
      <c r="Y160" s="483"/>
      <c r="Z160" s="483"/>
      <c r="AA160" s="483"/>
      <c r="AB160" s="483"/>
      <c r="AC160" s="483"/>
      <c r="AD160" s="483"/>
      <c r="AE160" s="483"/>
      <c r="AF160" s="483"/>
      <c r="AG160" s="483"/>
      <c r="AH160" s="483"/>
      <c r="AI160" s="483"/>
      <c r="AJ160" s="483"/>
      <c r="AK160" s="483"/>
      <c r="AL160" s="483"/>
      <c r="AM160" s="483"/>
      <c r="AN160" s="483"/>
      <c r="AO160" s="483"/>
      <c r="AP160" s="483"/>
      <c r="AQ160" s="483"/>
      <c r="AR160" s="483"/>
      <c r="AS160" s="483"/>
      <c r="AT160" s="483"/>
      <c r="AU160" s="483"/>
    </row>
    <row r="161" spans="1:47" s="170" customFormat="1" ht="19.5" customHeight="1">
      <c r="A161" s="186"/>
      <c r="B161" s="87"/>
      <c r="C161" s="85" t="s">
        <v>446</v>
      </c>
      <c r="D161" s="175">
        <f>7500+29900</f>
        <v>37400</v>
      </c>
      <c r="E161" s="487"/>
      <c r="F161" s="175">
        <v>2000</v>
      </c>
      <c r="G161" s="487"/>
      <c r="H161" s="28"/>
      <c r="I161" s="483"/>
      <c r="J161" s="483"/>
      <c r="K161" s="545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483"/>
      <c r="W161" s="483"/>
      <c r="X161" s="483"/>
      <c r="Y161" s="483"/>
      <c r="Z161" s="483"/>
      <c r="AA161" s="483"/>
      <c r="AB161" s="483"/>
      <c r="AC161" s="483"/>
      <c r="AD161" s="483"/>
      <c r="AE161" s="483"/>
      <c r="AF161" s="483"/>
      <c r="AG161" s="483"/>
      <c r="AH161" s="483"/>
      <c r="AI161" s="483"/>
      <c r="AJ161" s="483"/>
      <c r="AK161" s="483"/>
      <c r="AL161" s="483"/>
      <c r="AM161" s="483"/>
      <c r="AN161" s="483"/>
      <c r="AO161" s="483"/>
      <c r="AP161" s="483"/>
      <c r="AQ161" s="483"/>
      <c r="AR161" s="483"/>
      <c r="AS161" s="483"/>
      <c r="AT161" s="483"/>
      <c r="AU161" s="483"/>
    </row>
    <row r="162" spans="1:47" s="170" customFormat="1" ht="19.5" customHeight="1">
      <c r="A162" s="186"/>
      <c r="B162" s="87"/>
      <c r="C162" s="85" t="s">
        <v>476</v>
      </c>
      <c r="D162" s="175">
        <v>2000</v>
      </c>
      <c r="E162" s="487"/>
      <c r="F162" s="175"/>
      <c r="G162" s="487"/>
      <c r="H162" s="28"/>
      <c r="I162" s="483"/>
      <c r="J162" s="483"/>
      <c r="K162" s="545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483"/>
      <c r="W162" s="483"/>
      <c r="X162" s="483"/>
      <c r="Y162" s="483"/>
      <c r="Z162" s="483"/>
      <c r="AA162" s="483"/>
      <c r="AB162" s="483"/>
      <c r="AC162" s="483"/>
      <c r="AD162" s="483"/>
      <c r="AE162" s="483"/>
      <c r="AF162" s="483"/>
      <c r="AG162" s="483"/>
      <c r="AH162" s="483"/>
      <c r="AI162" s="483"/>
      <c r="AJ162" s="483"/>
      <c r="AK162" s="483"/>
      <c r="AL162" s="483"/>
      <c r="AM162" s="483"/>
      <c r="AN162" s="483"/>
      <c r="AO162" s="483"/>
      <c r="AP162" s="483"/>
      <c r="AQ162" s="483"/>
      <c r="AR162" s="483"/>
      <c r="AS162" s="483"/>
      <c r="AT162" s="483"/>
      <c r="AU162" s="483"/>
    </row>
    <row r="163" spans="1:47" s="170" customFormat="1" ht="19.5" customHeight="1">
      <c r="A163" s="186"/>
      <c r="B163" s="87"/>
      <c r="C163" s="85" t="s">
        <v>477</v>
      </c>
      <c r="D163" s="175">
        <v>3000</v>
      </c>
      <c r="E163" s="487"/>
      <c r="F163" s="175"/>
      <c r="G163" s="487"/>
      <c r="H163" s="28"/>
      <c r="I163" s="483"/>
      <c r="J163" s="483"/>
      <c r="K163" s="545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483"/>
      <c r="W163" s="483"/>
      <c r="X163" s="483"/>
      <c r="Y163" s="483"/>
      <c r="Z163" s="483"/>
      <c r="AA163" s="483"/>
      <c r="AB163" s="483"/>
      <c r="AC163" s="483"/>
      <c r="AD163" s="483"/>
      <c r="AE163" s="483"/>
      <c r="AF163" s="483"/>
      <c r="AG163" s="483"/>
      <c r="AH163" s="483"/>
      <c r="AI163" s="483"/>
      <c r="AJ163" s="483"/>
      <c r="AK163" s="483"/>
      <c r="AL163" s="483"/>
      <c r="AM163" s="483"/>
      <c r="AN163" s="483"/>
      <c r="AO163" s="483"/>
      <c r="AP163" s="483"/>
      <c r="AQ163" s="483"/>
      <c r="AR163" s="483"/>
      <c r="AS163" s="483"/>
      <c r="AT163" s="483"/>
      <c r="AU163" s="483"/>
    </row>
    <row r="164" spans="1:47" s="170" customFormat="1" ht="19.5" customHeight="1">
      <c r="A164" s="186"/>
      <c r="B164" s="87"/>
      <c r="C164" s="85" t="s">
        <v>495</v>
      </c>
      <c r="D164" s="175">
        <f>1000+7600+1800</f>
        <v>10400</v>
      </c>
      <c r="E164" s="487"/>
      <c r="F164" s="175"/>
      <c r="G164" s="487"/>
      <c r="H164" s="28"/>
      <c r="I164" s="483"/>
      <c r="J164" s="483"/>
      <c r="K164" s="545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483"/>
      <c r="W164" s="483"/>
      <c r="X164" s="483"/>
      <c r="Y164" s="483"/>
      <c r="Z164" s="483"/>
      <c r="AA164" s="483"/>
      <c r="AB164" s="483"/>
      <c r="AC164" s="483"/>
      <c r="AD164" s="483"/>
      <c r="AE164" s="483"/>
      <c r="AF164" s="483"/>
      <c r="AG164" s="483"/>
      <c r="AH164" s="483"/>
      <c r="AI164" s="483"/>
      <c r="AJ164" s="483"/>
      <c r="AK164" s="483"/>
      <c r="AL164" s="483"/>
      <c r="AM164" s="483"/>
      <c r="AN164" s="483"/>
      <c r="AO164" s="483"/>
      <c r="AP164" s="483"/>
      <c r="AQ164" s="483"/>
      <c r="AR164" s="483"/>
      <c r="AS164" s="483"/>
      <c r="AT164" s="483"/>
      <c r="AU164" s="483"/>
    </row>
    <row r="165" spans="1:47" s="170" customFormat="1" ht="19.5" customHeight="1">
      <c r="A165" s="186"/>
      <c r="B165" s="96"/>
      <c r="C165" s="85" t="s">
        <v>504</v>
      </c>
      <c r="D165" s="175">
        <f>11300-1800</f>
        <v>9500</v>
      </c>
      <c r="E165" s="487"/>
      <c r="F165" s="175"/>
      <c r="G165" s="487"/>
      <c r="H165" s="28"/>
      <c r="I165" s="483"/>
      <c r="J165" s="483"/>
      <c r="K165" s="545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483"/>
      <c r="W165" s="483"/>
      <c r="X165" s="483"/>
      <c r="Y165" s="483"/>
      <c r="Z165" s="483"/>
      <c r="AA165" s="483"/>
      <c r="AB165" s="483"/>
      <c r="AC165" s="483"/>
      <c r="AD165" s="483"/>
      <c r="AE165" s="483"/>
      <c r="AF165" s="483"/>
      <c r="AG165" s="483"/>
      <c r="AH165" s="483"/>
      <c r="AI165" s="483"/>
      <c r="AJ165" s="483"/>
      <c r="AK165" s="483"/>
      <c r="AL165" s="483"/>
      <c r="AM165" s="483"/>
      <c r="AN165" s="483"/>
      <c r="AO165" s="483"/>
      <c r="AP165" s="483"/>
      <c r="AQ165" s="483"/>
      <c r="AR165" s="483"/>
      <c r="AS165" s="483"/>
      <c r="AT165" s="483"/>
      <c r="AU165" s="483"/>
    </row>
    <row r="166" spans="1:11" s="600" customFormat="1" ht="19.5" customHeight="1">
      <c r="A166" s="79" t="s">
        <v>448</v>
      </c>
      <c r="B166" s="191" t="s">
        <v>478</v>
      </c>
      <c r="C166" s="79" t="s">
        <v>446</v>
      </c>
      <c r="D166" s="178"/>
      <c r="E166" s="585"/>
      <c r="F166" s="178">
        <v>3000</v>
      </c>
      <c r="G166" s="585"/>
      <c r="H166" s="484"/>
      <c r="K166" s="624"/>
    </row>
    <row r="167" spans="1:47" s="33" customFormat="1" ht="19.5" customHeight="1">
      <c r="A167" s="642" t="s">
        <v>456</v>
      </c>
      <c r="B167" s="191" t="s">
        <v>457</v>
      </c>
      <c r="C167" s="79" t="s">
        <v>447</v>
      </c>
      <c r="D167" s="178"/>
      <c r="E167" s="585"/>
      <c r="F167" s="178">
        <v>9000</v>
      </c>
      <c r="G167" s="585"/>
      <c r="H167" s="29"/>
      <c r="I167" s="600"/>
      <c r="J167" s="600"/>
      <c r="K167" s="624"/>
      <c r="L167" s="600"/>
      <c r="M167" s="600"/>
      <c r="N167" s="600"/>
      <c r="O167" s="600"/>
      <c r="P167" s="600"/>
      <c r="Q167" s="600"/>
      <c r="R167" s="600"/>
      <c r="S167" s="600"/>
      <c r="T167" s="600"/>
      <c r="U167" s="600"/>
      <c r="V167" s="600"/>
      <c r="W167" s="600"/>
      <c r="X167" s="600"/>
      <c r="Y167" s="600"/>
      <c r="Z167" s="600"/>
      <c r="AA167" s="600"/>
      <c r="AB167" s="600"/>
      <c r="AC167" s="600"/>
      <c r="AD167" s="600"/>
      <c r="AE167" s="600"/>
      <c r="AF167" s="600"/>
      <c r="AG167" s="600"/>
      <c r="AH167" s="600"/>
      <c r="AI167" s="600"/>
      <c r="AJ167" s="600"/>
      <c r="AK167" s="600"/>
      <c r="AL167" s="600"/>
      <c r="AM167" s="600"/>
      <c r="AN167" s="600"/>
      <c r="AO167" s="600"/>
      <c r="AP167" s="600"/>
      <c r="AQ167" s="600"/>
      <c r="AR167" s="600"/>
      <c r="AS167" s="600"/>
      <c r="AT167" s="600"/>
      <c r="AU167" s="600"/>
    </row>
    <row r="168" spans="1:25" s="33" customFormat="1" ht="18" customHeight="1">
      <c r="A168" s="638" t="s">
        <v>76</v>
      </c>
      <c r="B168" s="640" t="s">
        <v>290</v>
      </c>
      <c r="C168" s="623"/>
      <c r="D168" s="625">
        <f>SUM(D169:D170)</f>
        <v>15000</v>
      </c>
      <c r="E168" s="625"/>
      <c r="F168" s="625">
        <f>SUM(F169:F170)</f>
        <v>42751.66</v>
      </c>
      <c r="G168" s="625"/>
      <c r="H168" s="624"/>
      <c r="I168" s="624"/>
      <c r="J168" s="624"/>
      <c r="K168" s="624"/>
      <c r="L168" s="600"/>
      <c r="M168" s="600"/>
      <c r="N168" s="600"/>
      <c r="O168" s="600"/>
      <c r="P168" s="600"/>
      <c r="Q168" s="600"/>
      <c r="R168" s="600"/>
      <c r="S168" s="600"/>
      <c r="T168" s="600"/>
      <c r="U168" s="600"/>
      <c r="V168" s="600"/>
      <c r="W168" s="600"/>
      <c r="X168" s="600"/>
      <c r="Y168" s="600"/>
    </row>
    <row r="169" spans="1:25" s="33" customFormat="1" ht="18" customHeight="1">
      <c r="A169" s="626"/>
      <c r="B169" s="626"/>
      <c r="C169" s="633" t="s">
        <v>291</v>
      </c>
      <c r="D169" s="634">
        <v>15000</v>
      </c>
      <c r="E169" s="426"/>
      <c r="F169" s="634">
        <f>30000-12000+4600</f>
        <v>22600</v>
      </c>
      <c r="G169" s="426"/>
      <c r="H169" s="624"/>
      <c r="I169" s="624"/>
      <c r="J169" s="624"/>
      <c r="K169" s="624"/>
      <c r="L169" s="600"/>
      <c r="M169" s="600"/>
      <c r="N169" s="600"/>
      <c r="O169" s="600"/>
      <c r="P169" s="600"/>
      <c r="Q169" s="600"/>
      <c r="R169" s="600"/>
      <c r="S169" s="600"/>
      <c r="T169" s="600"/>
      <c r="U169" s="600"/>
      <c r="V169" s="600"/>
      <c r="W169" s="600"/>
      <c r="X169" s="600"/>
      <c r="Y169" s="600"/>
    </row>
    <row r="170" spans="1:25" s="33" customFormat="1" ht="18" customHeight="1">
      <c r="A170" s="627"/>
      <c r="B170" s="627"/>
      <c r="C170" s="633" t="s">
        <v>407</v>
      </c>
      <c r="D170" s="634"/>
      <c r="E170" s="426"/>
      <c r="F170" s="634">
        <v>20151.66</v>
      </c>
      <c r="G170" s="426"/>
      <c r="H170" s="624"/>
      <c r="I170" s="624"/>
      <c r="J170" s="624"/>
      <c r="K170" s="624"/>
      <c r="L170" s="600"/>
      <c r="M170" s="600"/>
      <c r="N170" s="600"/>
      <c r="O170" s="600"/>
      <c r="P170" s="600"/>
      <c r="Q170" s="600"/>
      <c r="R170" s="600"/>
      <c r="S170" s="600"/>
      <c r="T170" s="600"/>
      <c r="U170" s="600"/>
      <c r="V170" s="600"/>
      <c r="W170" s="600"/>
      <c r="X170" s="600"/>
      <c r="Y170" s="600"/>
    </row>
    <row r="171" spans="1:11" s="600" customFormat="1" ht="19.5" customHeight="1">
      <c r="A171" s="191" t="s">
        <v>77</v>
      </c>
      <c r="B171" s="82"/>
      <c r="C171" s="163"/>
      <c r="D171" s="80">
        <f>D172+D185+D189+D194+D198+D206</f>
        <v>123140</v>
      </c>
      <c r="E171" s="80"/>
      <c r="F171" s="80">
        <f>F172+F185+F189+F194+F198+F206</f>
        <v>108831</v>
      </c>
      <c r="G171" s="80"/>
      <c r="H171" s="484"/>
      <c r="I171" s="624"/>
      <c r="J171" s="624"/>
      <c r="K171" s="624"/>
    </row>
    <row r="172" spans="1:11" s="483" customFormat="1" ht="19.5" customHeight="1">
      <c r="A172" s="87"/>
      <c r="B172" s="88" t="s">
        <v>78</v>
      </c>
      <c r="C172" s="89"/>
      <c r="D172" s="86">
        <f>SUM(D173:D184)</f>
        <v>6454</v>
      </c>
      <c r="E172" s="86"/>
      <c r="F172" s="86">
        <f>SUM(F173:F184)</f>
        <v>77254</v>
      </c>
      <c r="G172" s="86"/>
      <c r="H172" s="485"/>
      <c r="I172" s="545"/>
      <c r="J172" s="545"/>
      <c r="K172" s="545"/>
    </row>
    <row r="173" spans="1:11" s="483" customFormat="1" ht="19.5" customHeight="1">
      <c r="A173" s="186"/>
      <c r="B173" s="83"/>
      <c r="C173" s="89" t="s">
        <v>459</v>
      </c>
      <c r="D173" s="86"/>
      <c r="E173" s="86"/>
      <c r="F173" s="86">
        <v>31000</v>
      </c>
      <c r="G173" s="86"/>
      <c r="H173" s="485"/>
      <c r="I173" s="545"/>
      <c r="K173" s="545"/>
    </row>
    <row r="174" spans="1:11" s="483" customFormat="1" ht="19.5" customHeight="1">
      <c r="A174" s="186"/>
      <c r="B174" s="87"/>
      <c r="C174" s="89" t="s">
        <v>479</v>
      </c>
      <c r="D174" s="86">
        <v>500</v>
      </c>
      <c r="E174" s="86"/>
      <c r="F174" s="86"/>
      <c r="G174" s="86"/>
      <c r="H174" s="485"/>
      <c r="I174" s="545"/>
      <c r="K174" s="545"/>
    </row>
    <row r="175" spans="1:11" s="483" customFormat="1" ht="19.5" customHeight="1">
      <c r="A175" s="186"/>
      <c r="B175" s="87"/>
      <c r="C175" s="89" t="s">
        <v>80</v>
      </c>
      <c r="D175" s="86"/>
      <c r="E175" s="86"/>
      <c r="F175" s="86">
        <f>3050+6260+5466</f>
        <v>14776</v>
      </c>
      <c r="G175" s="86"/>
      <c r="H175" s="485"/>
      <c r="I175" s="545"/>
      <c r="K175" s="545"/>
    </row>
    <row r="176" spans="1:11" s="483" customFormat="1" ht="19.5" customHeight="1">
      <c r="A176" s="186"/>
      <c r="B176" s="87"/>
      <c r="C176" s="89" t="s">
        <v>81</v>
      </c>
      <c r="D176" s="86"/>
      <c r="E176" s="185"/>
      <c r="F176" s="86">
        <f>21000+2800+940</f>
        <v>24740</v>
      </c>
      <c r="G176" s="185"/>
      <c r="H176" s="485"/>
      <c r="J176" s="545"/>
      <c r="K176" s="545"/>
    </row>
    <row r="177" spans="1:11" s="483" customFormat="1" ht="19.5" customHeight="1">
      <c r="A177" s="186"/>
      <c r="B177" s="87"/>
      <c r="C177" s="85" t="s">
        <v>82</v>
      </c>
      <c r="D177" s="175">
        <v>2800</v>
      </c>
      <c r="E177" s="487"/>
      <c r="F177" s="175">
        <v>134</v>
      </c>
      <c r="G177" s="487"/>
      <c r="H177" s="485"/>
      <c r="J177" s="545"/>
      <c r="K177" s="545"/>
    </row>
    <row r="178" spans="1:11" s="483" customFormat="1" ht="19.5" customHeight="1">
      <c r="A178" s="186"/>
      <c r="B178" s="87"/>
      <c r="C178" s="85" t="s">
        <v>75</v>
      </c>
      <c r="D178" s="175"/>
      <c r="E178" s="487"/>
      <c r="F178" s="175">
        <f>529+2733+3000</f>
        <v>6262</v>
      </c>
      <c r="G178" s="487"/>
      <c r="H178" s="485"/>
      <c r="J178" s="545"/>
      <c r="K178" s="545"/>
    </row>
    <row r="179" spans="1:11" s="483" customFormat="1" ht="19.5" customHeight="1">
      <c r="A179" s="186"/>
      <c r="B179" s="87"/>
      <c r="C179" s="85" t="s">
        <v>468</v>
      </c>
      <c r="D179" s="175"/>
      <c r="E179" s="487"/>
      <c r="F179" s="175">
        <v>250</v>
      </c>
      <c r="G179" s="487"/>
      <c r="H179" s="485"/>
      <c r="J179" s="545"/>
      <c r="K179" s="545"/>
    </row>
    <row r="180" spans="1:11" s="483" customFormat="1" ht="19.5" customHeight="1">
      <c r="A180" s="186"/>
      <c r="B180" s="87"/>
      <c r="C180" s="85" t="s">
        <v>390</v>
      </c>
      <c r="D180" s="175">
        <f>283+990</f>
        <v>1273</v>
      </c>
      <c r="E180" s="487"/>
      <c r="F180" s="175"/>
      <c r="G180" s="487"/>
      <c r="H180" s="485"/>
      <c r="K180" s="545"/>
    </row>
    <row r="181" spans="1:11" s="483" customFormat="1" ht="19.5" customHeight="1">
      <c r="A181" s="186"/>
      <c r="B181" s="87"/>
      <c r="C181" s="89" t="s">
        <v>446</v>
      </c>
      <c r="D181" s="86">
        <v>500</v>
      </c>
      <c r="E181" s="185"/>
      <c r="F181" s="86"/>
      <c r="G181" s="185"/>
      <c r="H181" s="485"/>
      <c r="K181" s="545"/>
    </row>
    <row r="182" spans="1:11" s="483" customFormat="1" ht="19.5" customHeight="1">
      <c r="A182" s="186"/>
      <c r="B182" s="87"/>
      <c r="C182" s="89" t="s">
        <v>469</v>
      </c>
      <c r="D182" s="86">
        <v>200</v>
      </c>
      <c r="E182" s="185"/>
      <c r="F182" s="86"/>
      <c r="G182" s="185"/>
      <c r="H182" s="485"/>
      <c r="K182" s="545"/>
    </row>
    <row r="183" spans="1:11" s="483" customFormat="1" ht="19.5" customHeight="1">
      <c r="A183" s="186"/>
      <c r="B183" s="87"/>
      <c r="C183" s="89" t="s">
        <v>392</v>
      </c>
      <c r="D183" s="86"/>
      <c r="E183" s="185"/>
      <c r="F183" s="86">
        <v>92</v>
      </c>
      <c r="G183" s="185"/>
      <c r="H183" s="485"/>
      <c r="K183" s="545"/>
    </row>
    <row r="184" spans="1:11" s="483" customFormat="1" ht="19.5" customHeight="1">
      <c r="A184" s="186"/>
      <c r="B184" s="96"/>
      <c r="C184" s="89" t="s">
        <v>481</v>
      </c>
      <c r="D184" s="86">
        <v>1181</v>
      </c>
      <c r="E184" s="185"/>
      <c r="F184" s="86"/>
      <c r="G184" s="185"/>
      <c r="H184" s="485"/>
      <c r="K184" s="545"/>
    </row>
    <row r="185" spans="1:11" s="483" customFormat="1" ht="19.5" customHeight="1">
      <c r="A185" s="186"/>
      <c r="B185" s="96" t="s">
        <v>384</v>
      </c>
      <c r="C185" s="89"/>
      <c r="D185" s="86">
        <f>SUM(D186:D188)</f>
        <v>16000</v>
      </c>
      <c r="E185" s="185"/>
      <c r="F185" s="86">
        <f>SUM(F186:F188)</f>
        <v>15761</v>
      </c>
      <c r="G185" s="185"/>
      <c r="H185" s="485"/>
      <c r="K185" s="545"/>
    </row>
    <row r="186" spans="1:11" s="483" customFormat="1" ht="19.5" customHeight="1">
      <c r="A186" s="186"/>
      <c r="B186" s="87"/>
      <c r="C186" s="89" t="s">
        <v>459</v>
      </c>
      <c r="D186" s="86">
        <v>16000</v>
      </c>
      <c r="E186" s="185"/>
      <c r="F186" s="86"/>
      <c r="G186" s="185"/>
      <c r="H186" s="485"/>
      <c r="K186" s="545"/>
    </row>
    <row r="187" spans="1:11" s="483" customFormat="1" ht="19.5" customHeight="1">
      <c r="A187" s="186"/>
      <c r="B187" s="87"/>
      <c r="C187" s="89" t="s">
        <v>490</v>
      </c>
      <c r="D187" s="86"/>
      <c r="E187" s="185"/>
      <c r="F187" s="86">
        <v>761</v>
      </c>
      <c r="G187" s="185"/>
      <c r="H187" s="485"/>
      <c r="K187" s="545"/>
    </row>
    <row r="188" spans="1:11" s="483" customFormat="1" ht="19.5" customHeight="1">
      <c r="A188" s="186"/>
      <c r="B188" s="87"/>
      <c r="C188" s="89" t="s">
        <v>458</v>
      </c>
      <c r="D188" s="86"/>
      <c r="E188" s="185"/>
      <c r="F188" s="86">
        <v>15000</v>
      </c>
      <c r="G188" s="185"/>
      <c r="H188" s="485"/>
      <c r="K188" s="545"/>
    </row>
    <row r="189" spans="1:11" s="483" customFormat="1" ht="19.5" customHeight="1">
      <c r="A189" s="186"/>
      <c r="B189" s="162" t="s">
        <v>460</v>
      </c>
      <c r="C189" s="89"/>
      <c r="D189" s="86">
        <f>SUM(D190:D193)</f>
        <v>19635</v>
      </c>
      <c r="E189" s="185"/>
      <c r="F189" s="86">
        <f>SUM(F190:F193)</f>
        <v>7666</v>
      </c>
      <c r="G189" s="185"/>
      <c r="H189" s="485"/>
      <c r="K189" s="545"/>
    </row>
    <row r="190" spans="1:11" s="483" customFormat="1" ht="19.5" customHeight="1">
      <c r="A190" s="186"/>
      <c r="B190" s="87"/>
      <c r="C190" s="89" t="s">
        <v>459</v>
      </c>
      <c r="D190" s="86">
        <f>3600+4170</f>
        <v>7770</v>
      </c>
      <c r="E190" s="185"/>
      <c r="F190" s="86"/>
      <c r="G190" s="185"/>
      <c r="H190" s="485"/>
      <c r="K190" s="545"/>
    </row>
    <row r="191" spans="1:11" s="483" customFormat="1" ht="19.5" customHeight="1">
      <c r="A191" s="186"/>
      <c r="B191" s="87"/>
      <c r="C191" s="89" t="s">
        <v>81</v>
      </c>
      <c r="D191" s="86"/>
      <c r="E191" s="185"/>
      <c r="F191" s="86">
        <v>6066</v>
      </c>
      <c r="G191" s="185"/>
      <c r="H191" s="485"/>
      <c r="K191" s="545"/>
    </row>
    <row r="192" spans="1:11" s="483" customFormat="1" ht="19.5" customHeight="1">
      <c r="A192" s="186"/>
      <c r="B192" s="87"/>
      <c r="C192" s="89" t="s">
        <v>82</v>
      </c>
      <c r="D192" s="86"/>
      <c r="E192" s="185"/>
      <c r="F192" s="86">
        <v>1600</v>
      </c>
      <c r="G192" s="185"/>
      <c r="H192" s="485"/>
      <c r="K192" s="545"/>
    </row>
    <row r="193" spans="1:11" s="483" customFormat="1" ht="19.5" customHeight="1">
      <c r="A193" s="186"/>
      <c r="B193" s="87"/>
      <c r="C193" s="89" t="s">
        <v>481</v>
      </c>
      <c r="D193" s="86">
        <v>11865</v>
      </c>
      <c r="E193" s="185"/>
      <c r="F193" s="86"/>
      <c r="G193" s="185"/>
      <c r="H193" s="485"/>
      <c r="K193" s="545"/>
    </row>
    <row r="194" spans="1:11" s="483" customFormat="1" ht="19.5" customHeight="1">
      <c r="A194" s="186"/>
      <c r="B194" s="162" t="s">
        <v>391</v>
      </c>
      <c r="C194" s="89"/>
      <c r="D194" s="86">
        <f>SUM(D195:D197)</f>
        <v>377</v>
      </c>
      <c r="E194" s="185"/>
      <c r="F194" s="86">
        <f>SUM(F195:F197)</f>
        <v>767</v>
      </c>
      <c r="G194" s="185"/>
      <c r="H194" s="485"/>
      <c r="K194" s="545"/>
    </row>
    <row r="195" spans="1:11" s="483" customFormat="1" ht="19.5" customHeight="1">
      <c r="A195" s="186"/>
      <c r="B195" s="87"/>
      <c r="C195" s="89" t="s">
        <v>75</v>
      </c>
      <c r="D195" s="86">
        <v>14</v>
      </c>
      <c r="E195" s="185"/>
      <c r="F195" s="86"/>
      <c r="G195" s="185"/>
      <c r="H195" s="485"/>
      <c r="K195" s="545"/>
    </row>
    <row r="196" spans="1:11" s="483" customFormat="1" ht="19.5" customHeight="1">
      <c r="A196" s="186"/>
      <c r="B196" s="87"/>
      <c r="C196" s="89" t="s">
        <v>392</v>
      </c>
      <c r="D196" s="86">
        <v>142</v>
      </c>
      <c r="E196" s="185"/>
      <c r="F196" s="86">
        <v>221</v>
      </c>
      <c r="G196" s="185"/>
      <c r="H196" s="485"/>
      <c r="K196" s="545"/>
    </row>
    <row r="197" spans="1:11" s="483" customFormat="1" ht="19.5" customHeight="1">
      <c r="A197" s="186"/>
      <c r="B197" s="87"/>
      <c r="C197" s="89" t="s">
        <v>397</v>
      </c>
      <c r="D197" s="86">
        <v>221</v>
      </c>
      <c r="E197" s="185"/>
      <c r="F197" s="86">
        <f>390+156</f>
        <v>546</v>
      </c>
      <c r="G197" s="185"/>
      <c r="H197" s="485"/>
      <c r="K197" s="545"/>
    </row>
    <row r="198" spans="1:11" s="483" customFormat="1" ht="19.5" customHeight="1">
      <c r="A198" s="186"/>
      <c r="B198" s="162" t="s">
        <v>289</v>
      </c>
      <c r="C198" s="89"/>
      <c r="D198" s="86">
        <f>SUM(D199:D205)</f>
        <v>80559</v>
      </c>
      <c r="E198" s="86"/>
      <c r="F198" s="86">
        <f>SUM(F199:F205)</f>
        <v>7268</v>
      </c>
      <c r="G198" s="86"/>
      <c r="H198" s="485"/>
      <c r="K198" s="545"/>
    </row>
    <row r="199" spans="1:11" s="483" customFormat="1" ht="19.5" customHeight="1">
      <c r="A199" s="186"/>
      <c r="B199" s="87"/>
      <c r="C199" s="89" t="s">
        <v>80</v>
      </c>
      <c r="D199" s="86"/>
      <c r="E199" s="86"/>
      <c r="F199" s="86">
        <f>6113</f>
        <v>6113</v>
      </c>
      <c r="G199" s="185"/>
      <c r="H199" s="485"/>
      <c r="I199" s="545"/>
      <c r="K199" s="545"/>
    </row>
    <row r="200" spans="1:11" s="483" customFormat="1" ht="19.5" customHeight="1">
      <c r="A200" s="186"/>
      <c r="B200" s="87"/>
      <c r="C200" s="89" t="s">
        <v>81</v>
      </c>
      <c r="D200" s="86"/>
      <c r="E200" s="185"/>
      <c r="F200" s="86">
        <v>172</v>
      </c>
      <c r="G200" s="185"/>
      <c r="H200" s="485"/>
      <c r="K200" s="545"/>
    </row>
    <row r="201" spans="1:11" s="483" customFormat="1" ht="19.5" customHeight="1">
      <c r="A201" s="186"/>
      <c r="B201" s="87"/>
      <c r="C201" s="162" t="s">
        <v>82</v>
      </c>
      <c r="D201" s="175"/>
      <c r="E201" s="185"/>
      <c r="F201" s="86">
        <v>76</v>
      </c>
      <c r="G201" s="185"/>
      <c r="H201" s="485"/>
      <c r="K201" s="545"/>
    </row>
    <row r="202" spans="1:11" s="483" customFormat="1" ht="19.5" customHeight="1">
      <c r="A202" s="186"/>
      <c r="B202" s="87"/>
      <c r="C202" s="162" t="s">
        <v>474</v>
      </c>
      <c r="D202" s="175">
        <f>23154+56905</f>
        <v>80059</v>
      </c>
      <c r="E202" s="185"/>
      <c r="F202" s="86"/>
      <c r="G202" s="185"/>
      <c r="H202" s="485"/>
      <c r="K202" s="545"/>
    </row>
    <row r="203" spans="1:11" s="483" customFormat="1" ht="19.5" customHeight="1">
      <c r="A203" s="186"/>
      <c r="B203" s="87"/>
      <c r="C203" s="162" t="s">
        <v>468</v>
      </c>
      <c r="D203" s="175"/>
      <c r="E203" s="185"/>
      <c r="F203" s="86">
        <v>500</v>
      </c>
      <c r="G203" s="185"/>
      <c r="H203" s="485"/>
      <c r="K203" s="545"/>
    </row>
    <row r="204" spans="1:11" s="483" customFormat="1" ht="19.5" customHeight="1">
      <c r="A204" s="186"/>
      <c r="B204" s="87"/>
      <c r="C204" s="162" t="s">
        <v>446</v>
      </c>
      <c r="D204" s="175">
        <v>500</v>
      </c>
      <c r="E204" s="185"/>
      <c r="F204" s="86"/>
      <c r="G204" s="185"/>
      <c r="H204" s="485"/>
      <c r="K204" s="545"/>
    </row>
    <row r="205" spans="1:11" s="483" customFormat="1" ht="19.5" customHeight="1">
      <c r="A205" s="186"/>
      <c r="B205" s="87"/>
      <c r="C205" s="162" t="s">
        <v>481</v>
      </c>
      <c r="D205" s="175"/>
      <c r="E205" s="185"/>
      <c r="F205" s="86">
        <v>407</v>
      </c>
      <c r="G205" s="185"/>
      <c r="H205" s="485"/>
      <c r="K205" s="545"/>
    </row>
    <row r="206" spans="1:11" s="483" customFormat="1" ht="19.5" customHeight="1">
      <c r="A206" s="186"/>
      <c r="B206" s="162" t="s">
        <v>497</v>
      </c>
      <c r="C206" s="162"/>
      <c r="D206" s="175">
        <f>SUM(D207:D208)</f>
        <v>115</v>
      </c>
      <c r="E206" s="185"/>
      <c r="F206" s="175">
        <f>SUM(F207:F208)</f>
        <v>115</v>
      </c>
      <c r="G206" s="185"/>
      <c r="H206" s="485"/>
      <c r="K206" s="545"/>
    </row>
    <row r="207" spans="1:11" s="483" customFormat="1" ht="19.5" customHeight="1">
      <c r="A207" s="186"/>
      <c r="B207" s="87"/>
      <c r="C207" s="162" t="s">
        <v>80</v>
      </c>
      <c r="D207" s="175">
        <v>115</v>
      </c>
      <c r="E207" s="185"/>
      <c r="F207" s="86"/>
      <c r="G207" s="185"/>
      <c r="H207" s="485"/>
      <c r="K207" s="545"/>
    </row>
    <row r="208" spans="1:11" s="483" customFormat="1" ht="19.5" customHeight="1">
      <c r="A208" s="186"/>
      <c r="B208" s="87"/>
      <c r="C208" s="162" t="s">
        <v>481</v>
      </c>
      <c r="D208" s="175"/>
      <c r="E208" s="185"/>
      <c r="F208" s="86">
        <v>115</v>
      </c>
      <c r="G208" s="185"/>
      <c r="H208" s="485"/>
      <c r="K208" s="545"/>
    </row>
    <row r="209" spans="1:11" s="600" customFormat="1" ht="19.5" customHeight="1">
      <c r="A209" s="643" t="s">
        <v>465</v>
      </c>
      <c r="B209" s="79"/>
      <c r="C209" s="82"/>
      <c r="D209" s="178">
        <f>D210+D211</f>
        <v>12500</v>
      </c>
      <c r="E209" s="178"/>
      <c r="F209" s="178">
        <f>F210+F211</f>
        <v>124500</v>
      </c>
      <c r="G209" s="178"/>
      <c r="H209" s="484"/>
      <c r="K209" s="624"/>
    </row>
    <row r="210" spans="1:11" s="483" customFormat="1" ht="19.5" customHeight="1">
      <c r="A210" s="186"/>
      <c r="B210" s="162" t="s">
        <v>502</v>
      </c>
      <c r="C210" s="85" t="s">
        <v>503</v>
      </c>
      <c r="D210" s="175"/>
      <c r="E210" s="86"/>
      <c r="F210" s="175">
        <v>112000</v>
      </c>
      <c r="G210" s="86"/>
      <c r="H210" s="485"/>
      <c r="K210" s="545"/>
    </row>
    <row r="211" spans="1:11" s="483" customFormat="1" ht="19.5" customHeight="1">
      <c r="A211" s="186"/>
      <c r="B211" s="162" t="s">
        <v>466</v>
      </c>
      <c r="C211" s="162"/>
      <c r="D211" s="175">
        <f>SUM(D212:D218)</f>
        <v>12500</v>
      </c>
      <c r="E211" s="185"/>
      <c r="F211" s="175">
        <f>SUM(F212:F218)</f>
        <v>12500</v>
      </c>
      <c r="G211" s="185"/>
      <c r="H211" s="485"/>
      <c r="K211" s="545"/>
    </row>
    <row r="212" spans="1:11" s="483" customFormat="1" ht="19.5" customHeight="1">
      <c r="A212" s="186"/>
      <c r="B212" s="87"/>
      <c r="C212" s="162" t="s">
        <v>467</v>
      </c>
      <c r="D212" s="175">
        <v>6000</v>
      </c>
      <c r="E212" s="185"/>
      <c r="F212" s="86"/>
      <c r="G212" s="185"/>
      <c r="H212" s="485"/>
      <c r="K212" s="545"/>
    </row>
    <row r="213" spans="1:11" s="483" customFormat="1" ht="19.5" customHeight="1">
      <c r="A213" s="186"/>
      <c r="B213" s="87"/>
      <c r="C213" s="162" t="s">
        <v>468</v>
      </c>
      <c r="D213" s="175">
        <v>850</v>
      </c>
      <c r="E213" s="185"/>
      <c r="F213" s="86"/>
      <c r="G213" s="185"/>
      <c r="H213" s="485"/>
      <c r="K213" s="545"/>
    </row>
    <row r="214" spans="1:11" s="483" customFormat="1" ht="19.5" customHeight="1">
      <c r="A214" s="186"/>
      <c r="B214" s="87"/>
      <c r="C214" s="162" t="s">
        <v>469</v>
      </c>
      <c r="D214" s="175">
        <v>2000</v>
      </c>
      <c r="E214" s="185"/>
      <c r="F214" s="86"/>
      <c r="G214" s="185"/>
      <c r="H214" s="485"/>
      <c r="K214" s="545"/>
    </row>
    <row r="215" spans="1:11" s="483" customFormat="1" ht="19.5" customHeight="1">
      <c r="A215" s="186"/>
      <c r="B215" s="87"/>
      <c r="C215" s="162" t="s">
        <v>470</v>
      </c>
      <c r="D215" s="175">
        <v>550</v>
      </c>
      <c r="E215" s="185"/>
      <c r="F215" s="86"/>
      <c r="G215" s="185"/>
      <c r="H215" s="485"/>
      <c r="K215" s="545"/>
    </row>
    <row r="216" spans="1:11" s="483" customFormat="1" ht="19.5" customHeight="1">
      <c r="A216" s="186"/>
      <c r="B216" s="87"/>
      <c r="C216" s="162" t="s">
        <v>471</v>
      </c>
      <c r="D216" s="175">
        <v>100</v>
      </c>
      <c r="E216" s="185"/>
      <c r="F216" s="86"/>
      <c r="G216" s="185"/>
      <c r="H216" s="485"/>
      <c r="K216" s="545"/>
    </row>
    <row r="217" spans="1:11" s="483" customFormat="1" ht="19.5" customHeight="1">
      <c r="A217" s="186"/>
      <c r="B217" s="87"/>
      <c r="C217" s="162" t="s">
        <v>397</v>
      </c>
      <c r="D217" s="175">
        <v>3000</v>
      </c>
      <c r="E217" s="185"/>
      <c r="F217" s="86"/>
      <c r="G217" s="185"/>
      <c r="H217" s="485"/>
      <c r="K217" s="545"/>
    </row>
    <row r="218" spans="1:11" s="483" customFormat="1" ht="19.5" customHeight="1">
      <c r="A218" s="186"/>
      <c r="B218" s="87"/>
      <c r="C218" s="162" t="s">
        <v>472</v>
      </c>
      <c r="D218" s="175"/>
      <c r="E218" s="185"/>
      <c r="F218" s="86">
        <v>12500</v>
      </c>
      <c r="G218" s="185"/>
      <c r="H218" s="485"/>
      <c r="K218" s="545"/>
    </row>
    <row r="219" spans="1:11" s="483" customFormat="1" ht="19.5" customHeight="1">
      <c r="A219" s="79" t="s">
        <v>387</v>
      </c>
      <c r="B219" s="79" t="s">
        <v>388</v>
      </c>
      <c r="C219" s="79"/>
      <c r="D219" s="178">
        <f>SUM(D220:D241)</f>
        <v>113023.39</v>
      </c>
      <c r="E219" s="178"/>
      <c r="F219" s="178">
        <f>SUM(F220:F241)</f>
        <v>686.62</v>
      </c>
      <c r="G219" s="178"/>
      <c r="H219" s="485"/>
      <c r="I219" s="545"/>
      <c r="K219" s="545"/>
    </row>
    <row r="220" spans="1:11" s="483" customFormat="1" ht="19.5" customHeight="1">
      <c r="A220" s="186"/>
      <c r="B220" s="87"/>
      <c r="C220" s="89" t="s">
        <v>425</v>
      </c>
      <c r="D220" s="86">
        <v>15090.27</v>
      </c>
      <c r="E220" s="185"/>
      <c r="F220" s="86"/>
      <c r="G220" s="185"/>
      <c r="H220" s="485"/>
      <c r="I220" s="545"/>
      <c r="K220" s="545"/>
    </row>
    <row r="221" spans="1:11" s="483" customFormat="1" ht="19.5" customHeight="1">
      <c r="A221" s="186"/>
      <c r="B221" s="87"/>
      <c r="C221" s="89" t="s">
        <v>426</v>
      </c>
      <c r="D221" s="86">
        <v>2663</v>
      </c>
      <c r="E221" s="185"/>
      <c r="F221" s="86"/>
      <c r="G221" s="185"/>
      <c r="H221" s="485"/>
      <c r="K221" s="545"/>
    </row>
    <row r="222" spans="1:11" s="483" customFormat="1" ht="19.5" customHeight="1">
      <c r="A222" s="186"/>
      <c r="B222" s="87"/>
      <c r="C222" s="89" t="s">
        <v>482</v>
      </c>
      <c r="D222" s="86">
        <v>13449.45</v>
      </c>
      <c r="E222" s="185"/>
      <c r="F222" s="86"/>
      <c r="G222" s="185"/>
      <c r="H222" s="485"/>
      <c r="K222" s="545"/>
    </row>
    <row r="223" spans="1:11" s="483" customFormat="1" ht="19.5" customHeight="1">
      <c r="A223" s="186"/>
      <c r="B223" s="87"/>
      <c r="C223" s="89" t="s">
        <v>483</v>
      </c>
      <c r="D223" s="86">
        <v>2373.44</v>
      </c>
      <c r="E223" s="185"/>
      <c r="F223" s="86"/>
      <c r="G223" s="185"/>
      <c r="H223" s="485"/>
      <c r="K223" s="545"/>
    </row>
    <row r="224" spans="1:11" s="483" customFormat="1" ht="19.5" customHeight="1">
      <c r="A224" s="186"/>
      <c r="B224" s="87"/>
      <c r="C224" s="89" t="s">
        <v>485</v>
      </c>
      <c r="D224" s="86">
        <f>943+2598.28</f>
        <v>3541.28</v>
      </c>
      <c r="E224" s="185"/>
      <c r="F224" s="86"/>
      <c r="G224" s="185"/>
      <c r="H224" s="485"/>
      <c r="K224" s="545"/>
    </row>
    <row r="225" spans="1:11" s="483" customFormat="1" ht="19.5" customHeight="1">
      <c r="A225" s="186"/>
      <c r="B225" s="87"/>
      <c r="C225" s="89" t="s">
        <v>484</v>
      </c>
      <c r="D225" s="86">
        <v>458.15</v>
      </c>
      <c r="E225" s="185"/>
      <c r="F225" s="86"/>
      <c r="G225" s="185"/>
      <c r="H225" s="485"/>
      <c r="K225" s="545"/>
    </row>
    <row r="226" spans="1:11" s="483" customFormat="1" ht="19.5" customHeight="1">
      <c r="A226" s="186"/>
      <c r="B226" s="87"/>
      <c r="C226" s="89" t="s">
        <v>499</v>
      </c>
      <c r="D226" s="86">
        <f>134</f>
        <v>134</v>
      </c>
      <c r="E226" s="185"/>
      <c r="F226" s="86"/>
      <c r="G226" s="185"/>
      <c r="H226" s="485"/>
      <c r="K226" s="545"/>
    </row>
    <row r="227" spans="1:11" s="483" customFormat="1" ht="19.5" customHeight="1">
      <c r="A227" s="186"/>
      <c r="B227" s="87"/>
      <c r="C227" s="89" t="s">
        <v>427</v>
      </c>
      <c r="D227" s="86">
        <f>1085.63+475.15+1624</f>
        <v>3184.78</v>
      </c>
      <c r="E227" s="185"/>
      <c r="F227" s="86"/>
      <c r="G227" s="185"/>
      <c r="H227" s="485"/>
      <c r="K227" s="545"/>
    </row>
    <row r="228" spans="1:11" s="483" customFormat="1" ht="19.5" customHeight="1">
      <c r="A228" s="186"/>
      <c r="B228" s="87"/>
      <c r="C228" s="89" t="s">
        <v>428</v>
      </c>
      <c r="D228" s="86">
        <f>192.17+83.85</f>
        <v>276.02</v>
      </c>
      <c r="E228" s="185"/>
      <c r="F228" s="86"/>
      <c r="G228" s="185"/>
      <c r="H228" s="485"/>
      <c r="K228" s="545"/>
    </row>
    <row r="229" spans="1:11" s="483" customFormat="1" ht="19.5" customHeight="1">
      <c r="A229" s="186"/>
      <c r="B229" s="87"/>
      <c r="C229" s="89" t="s">
        <v>429</v>
      </c>
      <c r="D229" s="86">
        <f>63.84+68+510</f>
        <v>641.84</v>
      </c>
      <c r="E229" s="185"/>
      <c r="F229" s="86"/>
      <c r="G229" s="185"/>
      <c r="H229" s="485"/>
      <c r="K229" s="545"/>
    </row>
    <row r="230" spans="1:11" s="483" customFormat="1" ht="19.5" customHeight="1">
      <c r="A230" s="186"/>
      <c r="B230" s="87"/>
      <c r="C230" s="89" t="s">
        <v>430</v>
      </c>
      <c r="D230" s="86">
        <f>11.04+12</f>
        <v>23.04</v>
      </c>
      <c r="E230" s="185"/>
      <c r="F230" s="86"/>
      <c r="G230" s="185"/>
      <c r="H230" s="485"/>
      <c r="K230" s="545"/>
    </row>
    <row r="231" spans="1:11" s="483" customFormat="1" ht="19.5" customHeight="1">
      <c r="A231" s="186"/>
      <c r="B231" s="87"/>
      <c r="C231" s="89" t="s">
        <v>431</v>
      </c>
      <c r="D231" s="86">
        <f>10184+93.5</f>
        <v>10277.5</v>
      </c>
      <c r="E231" s="185"/>
      <c r="F231" s="86"/>
      <c r="G231" s="185"/>
      <c r="H231" s="485"/>
      <c r="K231" s="545"/>
    </row>
    <row r="232" spans="1:11" s="483" customFormat="1" ht="19.5" customHeight="1">
      <c r="A232" s="186"/>
      <c r="B232" s="87"/>
      <c r="C232" s="89" t="s">
        <v>432</v>
      </c>
      <c r="D232" s="86">
        <v>16.5</v>
      </c>
      <c r="E232" s="185"/>
      <c r="F232" s="86"/>
      <c r="G232" s="185"/>
      <c r="H232" s="485"/>
      <c r="K232" s="545"/>
    </row>
    <row r="233" spans="1:11" s="483" customFormat="1" ht="19.5" customHeight="1">
      <c r="A233" s="186"/>
      <c r="B233" s="87"/>
      <c r="C233" s="89" t="s">
        <v>75</v>
      </c>
      <c r="D233" s="86"/>
      <c r="E233" s="185"/>
      <c r="F233" s="86">
        <v>686.62</v>
      </c>
      <c r="G233" s="185"/>
      <c r="H233" s="485"/>
      <c r="K233" s="545"/>
    </row>
    <row r="234" spans="1:11" s="483" customFormat="1" ht="19.5" customHeight="1">
      <c r="A234" s="186"/>
      <c r="B234" s="87"/>
      <c r="C234" s="89" t="s">
        <v>433</v>
      </c>
      <c r="D234" s="86">
        <f>1689.63+180.12</f>
        <v>1869.75</v>
      </c>
      <c r="E234" s="185"/>
      <c r="F234" s="86"/>
      <c r="G234" s="185"/>
      <c r="H234" s="485"/>
      <c r="K234" s="545"/>
    </row>
    <row r="235" spans="1:11" s="483" customFormat="1" ht="19.5" customHeight="1">
      <c r="A235" s="186"/>
      <c r="B235" s="87"/>
      <c r="C235" s="89" t="s">
        <v>434</v>
      </c>
      <c r="D235" s="86">
        <v>31.79</v>
      </c>
      <c r="E235" s="185"/>
      <c r="F235" s="86"/>
      <c r="G235" s="185"/>
      <c r="H235" s="485"/>
      <c r="K235" s="545"/>
    </row>
    <row r="236" spans="1:11" s="483" customFormat="1" ht="19.5" customHeight="1">
      <c r="A236" s="186"/>
      <c r="B236" s="87"/>
      <c r="C236" s="89" t="s">
        <v>500</v>
      </c>
      <c r="D236" s="86">
        <v>110</v>
      </c>
      <c r="E236" s="185"/>
      <c r="F236" s="86"/>
      <c r="G236" s="185"/>
      <c r="H236" s="485"/>
      <c r="K236" s="545"/>
    </row>
    <row r="237" spans="1:11" s="483" customFormat="1" ht="19.5" customHeight="1">
      <c r="A237" s="186"/>
      <c r="B237" s="87"/>
      <c r="C237" s="89" t="s">
        <v>486</v>
      </c>
      <c r="D237" s="86">
        <v>22.1</v>
      </c>
      <c r="E237" s="185"/>
      <c r="F237" s="86"/>
      <c r="G237" s="185"/>
      <c r="H237" s="485"/>
      <c r="K237" s="545"/>
    </row>
    <row r="238" spans="1:11" s="483" customFormat="1" ht="19.5" customHeight="1">
      <c r="A238" s="186"/>
      <c r="B238" s="87"/>
      <c r="C238" s="89" t="s">
        <v>487</v>
      </c>
      <c r="D238" s="86">
        <v>3.9</v>
      </c>
      <c r="E238" s="185"/>
      <c r="F238" s="86"/>
      <c r="G238" s="185"/>
      <c r="H238" s="485"/>
      <c r="K238" s="545"/>
    </row>
    <row r="239" spans="1:11" s="483" customFormat="1" ht="19.5" customHeight="1">
      <c r="A239" s="186"/>
      <c r="B239" s="87"/>
      <c r="C239" s="89" t="s">
        <v>435</v>
      </c>
      <c r="D239" s="86">
        <f>650+49118.59</f>
        <v>49768.59</v>
      </c>
      <c r="E239" s="185"/>
      <c r="F239" s="86"/>
      <c r="G239" s="185"/>
      <c r="H239" s="485"/>
      <c r="K239" s="545"/>
    </row>
    <row r="240" spans="1:11" s="483" customFormat="1" ht="19.5" customHeight="1">
      <c r="A240" s="186"/>
      <c r="B240" s="87"/>
      <c r="C240" s="162" t="s">
        <v>436</v>
      </c>
      <c r="D240" s="86">
        <v>8667.99</v>
      </c>
      <c r="E240" s="185"/>
      <c r="F240" s="86"/>
      <c r="G240" s="185"/>
      <c r="H240" s="485"/>
      <c r="K240" s="545"/>
    </row>
    <row r="241" spans="1:11" s="483" customFormat="1" ht="19.5" customHeight="1">
      <c r="A241" s="186"/>
      <c r="B241" s="87"/>
      <c r="C241" s="162" t="s">
        <v>501</v>
      </c>
      <c r="D241" s="86">
        <v>420</v>
      </c>
      <c r="E241" s="185"/>
      <c r="F241" s="86"/>
      <c r="G241" s="185"/>
      <c r="H241" s="485"/>
      <c r="K241" s="545"/>
    </row>
    <row r="242" spans="1:11" s="483" customFormat="1" ht="19.5" customHeight="1">
      <c r="A242" s="79" t="s">
        <v>381</v>
      </c>
      <c r="B242" s="79"/>
      <c r="C242" s="79"/>
      <c r="D242" s="80">
        <f>D243+D251</f>
        <v>12413</v>
      </c>
      <c r="E242" s="80"/>
      <c r="F242" s="80">
        <f>F243+F251</f>
        <v>12910</v>
      </c>
      <c r="G242" s="80"/>
      <c r="H242" s="485"/>
      <c r="K242" s="545"/>
    </row>
    <row r="243" spans="1:11" s="483" customFormat="1" ht="19.5" customHeight="1">
      <c r="A243" s="186"/>
      <c r="B243" s="96" t="s">
        <v>382</v>
      </c>
      <c r="C243" s="89"/>
      <c r="D243" s="86">
        <f>SUM(D244:D250)</f>
        <v>12023</v>
      </c>
      <c r="E243" s="86"/>
      <c r="F243" s="86">
        <f>SUM(F244:F250)</f>
        <v>12910</v>
      </c>
      <c r="G243" s="86"/>
      <c r="H243" s="485"/>
      <c r="K243" s="545"/>
    </row>
    <row r="244" spans="1:11" s="483" customFormat="1" ht="19.5" customHeight="1">
      <c r="A244" s="186"/>
      <c r="B244" s="87"/>
      <c r="C244" s="89" t="s">
        <v>479</v>
      </c>
      <c r="D244" s="86">
        <v>300</v>
      </c>
      <c r="E244" s="86"/>
      <c r="F244" s="86"/>
      <c r="G244" s="86"/>
      <c r="H244" s="485"/>
      <c r="K244" s="545"/>
    </row>
    <row r="245" spans="1:11" s="483" customFormat="1" ht="19.5" customHeight="1">
      <c r="A245" s="186"/>
      <c r="B245" s="87"/>
      <c r="C245" s="89" t="s">
        <v>80</v>
      </c>
      <c r="D245" s="86">
        <v>11475</v>
      </c>
      <c r="E245" s="185"/>
      <c r="F245" s="86"/>
      <c r="G245" s="185"/>
      <c r="H245" s="485"/>
      <c r="K245" s="545"/>
    </row>
    <row r="246" spans="1:11" s="483" customFormat="1" ht="19.5" customHeight="1">
      <c r="A246" s="186"/>
      <c r="B246" s="87"/>
      <c r="C246" s="89" t="s">
        <v>81</v>
      </c>
      <c r="D246" s="86">
        <v>172</v>
      </c>
      <c r="E246" s="185"/>
      <c r="F246" s="86"/>
      <c r="G246" s="185"/>
      <c r="H246" s="485"/>
      <c r="K246" s="545"/>
    </row>
    <row r="247" spans="1:11" s="483" customFormat="1" ht="19.5" customHeight="1">
      <c r="A247" s="186"/>
      <c r="B247" s="87"/>
      <c r="C247" s="162" t="s">
        <v>82</v>
      </c>
      <c r="D247" s="86">
        <v>76</v>
      </c>
      <c r="E247" s="185"/>
      <c r="F247" s="86">
        <v>800</v>
      </c>
      <c r="G247" s="185"/>
      <c r="H247" s="485"/>
      <c r="K247" s="545"/>
    </row>
    <row r="248" spans="1:11" s="483" customFormat="1" ht="19.5" customHeight="1">
      <c r="A248" s="186"/>
      <c r="B248" s="87"/>
      <c r="C248" s="162" t="s">
        <v>75</v>
      </c>
      <c r="D248" s="86"/>
      <c r="E248" s="185"/>
      <c r="F248" s="86">
        <v>8300</v>
      </c>
      <c r="G248" s="185"/>
      <c r="H248" s="485"/>
      <c r="K248" s="545"/>
    </row>
    <row r="249" spans="1:11" s="483" customFormat="1" ht="19.5" customHeight="1">
      <c r="A249" s="186"/>
      <c r="B249" s="87"/>
      <c r="C249" s="162" t="s">
        <v>490</v>
      </c>
      <c r="D249" s="86"/>
      <c r="E249" s="185"/>
      <c r="F249" s="86">
        <v>2600</v>
      </c>
      <c r="G249" s="185"/>
      <c r="H249" s="485"/>
      <c r="K249" s="545"/>
    </row>
    <row r="250" spans="1:11" s="483" customFormat="1" ht="19.5" customHeight="1">
      <c r="A250" s="186"/>
      <c r="B250" s="87"/>
      <c r="C250" s="162" t="s">
        <v>481</v>
      </c>
      <c r="D250" s="86"/>
      <c r="E250" s="185"/>
      <c r="F250" s="86">
        <v>1210</v>
      </c>
      <c r="G250" s="185"/>
      <c r="H250" s="485"/>
      <c r="K250" s="545"/>
    </row>
    <row r="251" spans="1:11" s="483" customFormat="1" ht="19.5" customHeight="1">
      <c r="A251" s="186"/>
      <c r="B251" s="162" t="s">
        <v>496</v>
      </c>
      <c r="C251" s="162" t="s">
        <v>397</v>
      </c>
      <c r="D251" s="86">
        <v>390</v>
      </c>
      <c r="E251" s="185"/>
      <c r="F251" s="86"/>
      <c r="G251" s="185"/>
      <c r="H251" s="485"/>
      <c r="K251" s="545"/>
    </row>
    <row r="252" spans="1:11" s="483" customFormat="1" ht="19.5" customHeight="1">
      <c r="A252" s="79" t="s">
        <v>79</v>
      </c>
      <c r="B252" s="79"/>
      <c r="C252" s="79"/>
      <c r="D252" s="80">
        <f>D253+D254</f>
        <v>74775.89</v>
      </c>
      <c r="E252" s="80"/>
      <c r="F252" s="80">
        <f>F253+F254</f>
        <v>65224.229999999996</v>
      </c>
      <c r="G252" s="80"/>
      <c r="H252" s="485"/>
      <c r="K252" s="545"/>
    </row>
    <row r="253" spans="1:11" s="483" customFormat="1" ht="19.5" customHeight="1">
      <c r="A253" s="186"/>
      <c r="B253" s="162" t="s">
        <v>507</v>
      </c>
      <c r="C253" s="162" t="s">
        <v>472</v>
      </c>
      <c r="D253" s="86"/>
      <c r="E253" s="86"/>
      <c r="F253" s="86">
        <v>45200</v>
      </c>
      <c r="G253" s="86"/>
      <c r="H253" s="485"/>
      <c r="K253" s="545"/>
    </row>
    <row r="254" spans="1:11" s="483" customFormat="1" ht="19.5" customHeight="1">
      <c r="A254" s="186"/>
      <c r="B254" s="162" t="s">
        <v>396</v>
      </c>
      <c r="C254" s="162"/>
      <c r="D254" s="86">
        <f>SUM(D255:D257)</f>
        <v>74775.89</v>
      </c>
      <c r="E254" s="86"/>
      <c r="F254" s="86">
        <f>SUM(F255:F257)</f>
        <v>20024.23</v>
      </c>
      <c r="G254" s="86"/>
      <c r="H254" s="485"/>
      <c r="K254" s="545"/>
    </row>
    <row r="255" spans="1:11" s="483" customFormat="1" ht="19.5" customHeight="1">
      <c r="A255" s="186"/>
      <c r="B255" s="87"/>
      <c r="C255" s="88" t="s">
        <v>468</v>
      </c>
      <c r="D255" s="86">
        <v>4600</v>
      </c>
      <c r="E255" s="185"/>
      <c r="F255" s="86"/>
      <c r="G255" s="185"/>
      <c r="H255" s="485"/>
      <c r="K255" s="545"/>
    </row>
    <row r="256" spans="1:11" s="483" customFormat="1" ht="19.5" customHeight="1">
      <c r="A256" s="186"/>
      <c r="B256" s="87"/>
      <c r="C256" s="162" t="s">
        <v>446</v>
      </c>
      <c r="D256" s="86"/>
      <c r="E256" s="185"/>
      <c r="F256" s="86">
        <v>20024.23</v>
      </c>
      <c r="G256" s="185"/>
      <c r="H256" s="485"/>
      <c r="K256" s="545"/>
    </row>
    <row r="257" spans="1:11" s="483" customFormat="1" ht="19.5" customHeight="1">
      <c r="A257" s="186"/>
      <c r="B257" s="87"/>
      <c r="C257" s="162" t="s">
        <v>424</v>
      </c>
      <c r="D257" s="86">
        <f>30000+20024.23+20151.66</f>
        <v>70175.89</v>
      </c>
      <c r="E257" s="185"/>
      <c r="F257" s="86"/>
      <c r="G257" s="185"/>
      <c r="H257" s="485"/>
      <c r="K257" s="545"/>
    </row>
    <row r="258" spans="1:47" s="3" customFormat="1" ht="21.75" customHeight="1">
      <c r="A258" s="621" t="s">
        <v>11</v>
      </c>
      <c r="B258" s="622"/>
      <c r="C258" s="118"/>
      <c r="D258" s="32">
        <f>D156+D166+D167+D168+D171+D209+D219+D242+D252</f>
        <v>455852.28</v>
      </c>
      <c r="E258" s="32">
        <f>E156+E166+E167+E168+E171+E209+E219+E242+E252</f>
        <v>0</v>
      </c>
      <c r="F258" s="32">
        <f>F156+F166+F167+F168+F171+F209+F219+F242+F252</f>
        <v>368903.51</v>
      </c>
      <c r="G258" s="32">
        <f>G156+G166+G167+G168+G171+G209+G219+G242+G252</f>
        <v>0</v>
      </c>
      <c r="H258" s="20"/>
      <c r="I258" s="598"/>
      <c r="J258" s="598"/>
      <c r="K258" s="598"/>
      <c r="L258" s="598"/>
      <c r="M258" s="598"/>
      <c r="N258" s="598"/>
      <c r="O258" s="598"/>
      <c r="P258" s="598"/>
      <c r="Q258" s="598"/>
      <c r="R258" s="598"/>
      <c r="S258" s="598"/>
      <c r="T258" s="598"/>
      <c r="U258" s="598"/>
      <c r="V258" s="598"/>
      <c r="W258" s="598"/>
      <c r="X258" s="598"/>
      <c r="Y258" s="598"/>
      <c r="Z258" s="598"/>
      <c r="AA258" s="598"/>
      <c r="AB258" s="598"/>
      <c r="AC258" s="598"/>
      <c r="AD258" s="598"/>
      <c r="AE258" s="598"/>
      <c r="AF258" s="598"/>
      <c r="AG258" s="598"/>
      <c r="AH258" s="598"/>
      <c r="AI258" s="598"/>
      <c r="AJ258" s="598"/>
      <c r="AK258" s="598"/>
      <c r="AL258" s="598"/>
      <c r="AM258" s="598"/>
      <c r="AN258" s="598"/>
      <c r="AO258" s="598"/>
      <c r="AP258" s="598"/>
      <c r="AQ258" s="598"/>
      <c r="AR258" s="598"/>
      <c r="AS258" s="598"/>
      <c r="AT258" s="598"/>
      <c r="AU258" s="598"/>
    </row>
    <row r="259" spans="1:47" s="3" customFormat="1" ht="18.75" customHeight="1">
      <c r="A259" s="119"/>
      <c r="B259" s="120"/>
      <c r="C259" s="121"/>
      <c r="D259" s="27"/>
      <c r="E259" s="27"/>
      <c r="F259" s="27"/>
      <c r="G259" s="27"/>
      <c r="H259" s="20"/>
      <c r="I259" s="598"/>
      <c r="J259" s="598"/>
      <c r="K259" s="598"/>
      <c r="L259" s="598"/>
      <c r="M259" s="598"/>
      <c r="N259" s="598"/>
      <c r="O259" s="598"/>
      <c r="P259" s="598"/>
      <c r="Q259" s="598"/>
      <c r="R259" s="598"/>
      <c r="S259" s="598"/>
      <c r="T259" s="598"/>
      <c r="U259" s="598"/>
      <c r="V259" s="598"/>
      <c r="W259" s="598"/>
      <c r="X259" s="598"/>
      <c r="Y259" s="598"/>
      <c r="Z259" s="598"/>
      <c r="AA259" s="598"/>
      <c r="AB259" s="598"/>
      <c r="AC259" s="598"/>
      <c r="AD259" s="598"/>
      <c r="AE259" s="598"/>
      <c r="AF259" s="598"/>
      <c r="AG259" s="598"/>
      <c r="AH259" s="598"/>
      <c r="AI259" s="598"/>
      <c r="AJ259" s="598"/>
      <c r="AK259" s="598"/>
      <c r="AL259" s="598"/>
      <c r="AM259" s="598"/>
      <c r="AN259" s="598"/>
      <c r="AO259" s="598"/>
      <c r="AP259" s="598"/>
      <c r="AQ259" s="598"/>
      <c r="AR259" s="598"/>
      <c r="AS259" s="598"/>
      <c r="AT259" s="598"/>
      <c r="AU259" s="598"/>
    </row>
    <row r="260" spans="1:47" s="3" customFormat="1" ht="18.75" customHeight="1">
      <c r="A260" s="119"/>
      <c r="B260" s="120"/>
      <c r="C260" s="121"/>
      <c r="D260" s="27"/>
      <c r="E260" s="27"/>
      <c r="F260" s="27"/>
      <c r="G260" s="27"/>
      <c r="H260" s="20"/>
      <c r="I260" s="598"/>
      <c r="J260" s="598"/>
      <c r="K260" s="598"/>
      <c r="L260" s="598"/>
      <c r="M260" s="598"/>
      <c r="N260" s="598"/>
      <c r="O260" s="598"/>
      <c r="P260" s="598"/>
      <c r="Q260" s="598"/>
      <c r="R260" s="598"/>
      <c r="S260" s="598"/>
      <c r="T260" s="598"/>
      <c r="U260" s="598"/>
      <c r="V260" s="598"/>
      <c r="W260" s="598"/>
      <c r="X260" s="598"/>
      <c r="Y260" s="598"/>
      <c r="Z260" s="598"/>
      <c r="AA260" s="598"/>
      <c r="AB260" s="598"/>
      <c r="AC260" s="598"/>
      <c r="AD260" s="598"/>
      <c r="AE260" s="598"/>
      <c r="AF260" s="598"/>
      <c r="AG260" s="598"/>
      <c r="AH260" s="598"/>
      <c r="AI260" s="598"/>
      <c r="AJ260" s="598"/>
      <c r="AK260" s="598"/>
      <c r="AL260" s="598"/>
      <c r="AM260" s="598"/>
      <c r="AN260" s="598"/>
      <c r="AO260" s="598"/>
      <c r="AP260" s="598"/>
      <c r="AQ260" s="598"/>
      <c r="AR260" s="598"/>
      <c r="AS260" s="598"/>
      <c r="AT260" s="598"/>
      <c r="AU260" s="598"/>
    </row>
    <row r="261" spans="1:8" ht="18.75">
      <c r="A261" s="112" t="s">
        <v>12</v>
      </c>
      <c r="B261" s="99"/>
      <c r="C261" s="114"/>
      <c r="D261" s="18"/>
      <c r="E261" s="18"/>
      <c r="F261" s="18"/>
      <c r="G261" s="18"/>
      <c r="H261" s="21"/>
    </row>
    <row r="262" spans="1:8" ht="15" customHeight="1">
      <c r="A262" s="112"/>
      <c r="B262" s="99"/>
      <c r="C262" s="114"/>
      <c r="D262" s="18"/>
      <c r="E262" s="18"/>
      <c r="F262" s="18"/>
      <c r="G262" s="18"/>
      <c r="H262" s="21"/>
    </row>
    <row r="263" spans="1:8" ht="18.75">
      <c r="A263" s="115" t="s">
        <v>442</v>
      </c>
      <c r="B263" s="113"/>
      <c r="C263" s="116"/>
      <c r="D263" s="19"/>
      <c r="E263" s="19"/>
      <c r="F263" s="19"/>
      <c r="G263" s="19"/>
      <c r="H263" s="17"/>
    </row>
    <row r="264" spans="1:8" ht="18.75">
      <c r="A264" s="115"/>
      <c r="B264" s="113"/>
      <c r="C264" s="116"/>
      <c r="D264" s="19"/>
      <c r="E264" s="19"/>
      <c r="F264" s="19"/>
      <c r="G264" s="19"/>
      <c r="H264" s="17"/>
    </row>
    <row r="265" spans="1:8" ht="18.75">
      <c r="A265" s="122"/>
      <c r="B265" s="74"/>
      <c r="C265" s="123"/>
      <c r="D265" s="10" t="s">
        <v>2</v>
      </c>
      <c r="E265" s="11"/>
      <c r="F265" s="10" t="s">
        <v>36</v>
      </c>
      <c r="G265" s="11"/>
      <c r="H265" s="17"/>
    </row>
    <row r="266" spans="1:8" ht="13.5" customHeight="1">
      <c r="A266" s="124"/>
      <c r="B266" s="76"/>
      <c r="C266" s="125"/>
      <c r="D266" s="12" t="s">
        <v>5</v>
      </c>
      <c r="E266" s="11" t="s">
        <v>4</v>
      </c>
      <c r="F266" s="12" t="s">
        <v>5</v>
      </c>
      <c r="G266" s="11" t="s">
        <v>4</v>
      </c>
      <c r="H266" s="17"/>
    </row>
    <row r="267" spans="1:8" ht="27.75" customHeight="1">
      <c r="A267" s="126" t="s">
        <v>7</v>
      </c>
      <c r="B267" s="127" t="s">
        <v>13</v>
      </c>
      <c r="C267" s="128" t="s">
        <v>8</v>
      </c>
      <c r="D267" s="129" t="s">
        <v>9</v>
      </c>
      <c r="E267" s="130" t="s">
        <v>10</v>
      </c>
      <c r="F267" s="129" t="s">
        <v>9</v>
      </c>
      <c r="G267" s="130" t="s">
        <v>10</v>
      </c>
      <c r="H267" s="17"/>
    </row>
    <row r="268" spans="1:47" s="177" customFormat="1" ht="21" customHeight="1">
      <c r="A268" s="79" t="s">
        <v>508</v>
      </c>
      <c r="B268" s="79" t="s">
        <v>509</v>
      </c>
      <c r="C268" s="79" t="s">
        <v>472</v>
      </c>
      <c r="D268" s="603">
        <v>45200</v>
      </c>
      <c r="E268" s="603"/>
      <c r="F268" s="603"/>
      <c r="G268" s="603"/>
      <c r="H268" s="20"/>
      <c r="I268" s="602"/>
      <c r="J268" s="602"/>
      <c r="K268" s="630"/>
      <c r="L268" s="602"/>
      <c r="M268" s="602"/>
      <c r="N268" s="602"/>
      <c r="O268" s="602"/>
      <c r="P268" s="602"/>
      <c r="Q268" s="602"/>
      <c r="R268" s="602"/>
      <c r="S268" s="602"/>
      <c r="T268" s="602"/>
      <c r="U268" s="602"/>
      <c r="V268" s="602"/>
      <c r="W268" s="602"/>
      <c r="X268" s="602"/>
      <c r="Y268" s="602"/>
      <c r="Z268" s="602"/>
      <c r="AA268" s="602"/>
      <c r="AB268" s="602"/>
      <c r="AC268" s="602"/>
      <c r="AD268" s="602"/>
      <c r="AE268" s="602"/>
      <c r="AF268" s="602"/>
      <c r="AG268" s="602"/>
      <c r="AH268" s="602"/>
      <c r="AI268" s="602"/>
      <c r="AJ268" s="602"/>
      <c r="AK268" s="602"/>
      <c r="AL268" s="602"/>
      <c r="AM268" s="602"/>
      <c r="AN268" s="602"/>
      <c r="AO268" s="602"/>
      <c r="AP268" s="602"/>
      <c r="AQ268" s="602"/>
      <c r="AR268" s="602"/>
      <c r="AS268" s="602"/>
      <c r="AT268" s="602"/>
      <c r="AU268" s="602"/>
    </row>
    <row r="269" spans="1:47" s="177" customFormat="1" ht="21" customHeight="1">
      <c r="A269" s="79" t="s">
        <v>454</v>
      </c>
      <c r="B269" s="79" t="s">
        <v>455</v>
      </c>
      <c r="C269" s="79" t="s">
        <v>446</v>
      </c>
      <c r="D269" s="603">
        <v>9000</v>
      </c>
      <c r="E269" s="603"/>
      <c r="F269" s="603"/>
      <c r="G269" s="603"/>
      <c r="H269" s="20"/>
      <c r="I269" s="602"/>
      <c r="J269" s="602"/>
      <c r="K269" s="630"/>
      <c r="L269" s="602"/>
      <c r="M269" s="602"/>
      <c r="N269" s="602"/>
      <c r="O269" s="602"/>
      <c r="P269" s="602"/>
      <c r="Q269" s="602"/>
      <c r="R269" s="602"/>
      <c r="S269" s="602"/>
      <c r="T269" s="602"/>
      <c r="U269" s="602"/>
      <c r="V269" s="602"/>
      <c r="W269" s="602"/>
      <c r="X269" s="602"/>
      <c r="Y269" s="602"/>
      <c r="Z269" s="602"/>
      <c r="AA269" s="602"/>
      <c r="AB269" s="602"/>
      <c r="AC269" s="602"/>
      <c r="AD269" s="602"/>
      <c r="AE269" s="602"/>
      <c r="AF269" s="602"/>
      <c r="AG269" s="602"/>
      <c r="AH269" s="602"/>
      <c r="AI269" s="602"/>
      <c r="AJ269" s="602"/>
      <c r="AK269" s="602"/>
      <c r="AL269" s="602"/>
      <c r="AM269" s="602"/>
      <c r="AN269" s="602"/>
      <c r="AO269" s="602"/>
      <c r="AP269" s="602"/>
      <c r="AQ269" s="602"/>
      <c r="AR269" s="602"/>
      <c r="AS269" s="602"/>
      <c r="AT269" s="602"/>
      <c r="AU269" s="602"/>
    </row>
    <row r="270" spans="1:47" s="177" customFormat="1" ht="21" customHeight="1">
      <c r="A270" s="644" t="s">
        <v>448</v>
      </c>
      <c r="B270" s="79"/>
      <c r="C270" s="82"/>
      <c r="D270" s="603">
        <f>D271+D272</f>
        <v>20000</v>
      </c>
      <c r="E270" s="603"/>
      <c r="F270" s="603">
        <f>F271+F272</f>
        <v>20000</v>
      </c>
      <c r="G270" s="603"/>
      <c r="H270" s="20"/>
      <c r="I270" s="602"/>
      <c r="J270" s="602"/>
      <c r="K270" s="630"/>
      <c r="L270" s="602"/>
      <c r="M270" s="602"/>
      <c r="N270" s="602"/>
      <c r="O270" s="602"/>
      <c r="P270" s="602"/>
      <c r="Q270" s="602"/>
      <c r="R270" s="602"/>
      <c r="S270" s="602"/>
      <c r="T270" s="602"/>
      <c r="U270" s="602"/>
      <c r="V270" s="602"/>
      <c r="W270" s="602"/>
      <c r="X270" s="602"/>
      <c r="Y270" s="602"/>
      <c r="Z270" s="602"/>
      <c r="AA270" s="602"/>
      <c r="AB270" s="602"/>
      <c r="AC270" s="602"/>
      <c r="AD270" s="602"/>
      <c r="AE270" s="602"/>
      <c r="AF270" s="602"/>
      <c r="AG270" s="602"/>
      <c r="AH270" s="602"/>
      <c r="AI270" s="602"/>
      <c r="AJ270" s="602"/>
      <c r="AK270" s="602"/>
      <c r="AL270" s="602"/>
      <c r="AM270" s="602"/>
      <c r="AN270" s="602"/>
      <c r="AO270" s="602"/>
      <c r="AP270" s="602"/>
      <c r="AQ270" s="602"/>
      <c r="AR270" s="602"/>
      <c r="AS270" s="602"/>
      <c r="AT270" s="602"/>
      <c r="AU270" s="602"/>
    </row>
    <row r="271" spans="1:47" s="34" customFormat="1" ht="21" customHeight="1">
      <c r="A271" s="83"/>
      <c r="B271" s="85" t="s">
        <v>449</v>
      </c>
      <c r="C271" s="85" t="s">
        <v>447</v>
      </c>
      <c r="D271" s="645"/>
      <c r="E271" s="645"/>
      <c r="F271" s="645">
        <v>20000</v>
      </c>
      <c r="G271" s="645"/>
      <c r="H271" s="604"/>
      <c r="I271" s="334"/>
      <c r="J271" s="334"/>
      <c r="K271" s="598"/>
      <c r="L271" s="334"/>
      <c r="M271" s="334"/>
      <c r="N271" s="334"/>
      <c r="O271" s="334"/>
      <c r="P271" s="334"/>
      <c r="Q271" s="334"/>
      <c r="R271" s="334"/>
      <c r="S271" s="334"/>
      <c r="T271" s="334"/>
      <c r="U271" s="334"/>
      <c r="V271" s="334"/>
      <c r="W271" s="334"/>
      <c r="X271" s="334"/>
      <c r="Y271" s="334"/>
      <c r="Z271" s="334"/>
      <c r="AA271" s="334"/>
      <c r="AB271" s="334"/>
      <c r="AC271" s="334"/>
      <c r="AD271" s="334"/>
      <c r="AE271" s="334"/>
      <c r="AF271" s="334"/>
      <c r="AG271" s="334"/>
      <c r="AH271" s="334"/>
      <c r="AI271" s="334"/>
      <c r="AJ271" s="334"/>
      <c r="AK271" s="334"/>
      <c r="AL271" s="334"/>
      <c r="AM271" s="334"/>
      <c r="AN271" s="334"/>
      <c r="AO271" s="334"/>
      <c r="AP271" s="334"/>
      <c r="AQ271" s="334"/>
      <c r="AR271" s="334"/>
      <c r="AS271" s="334"/>
      <c r="AT271" s="334"/>
      <c r="AU271" s="334"/>
    </row>
    <row r="272" spans="1:47" s="34" customFormat="1" ht="21" customHeight="1">
      <c r="A272" s="96"/>
      <c r="B272" s="85" t="s">
        <v>450</v>
      </c>
      <c r="C272" s="85" t="s">
        <v>446</v>
      </c>
      <c r="D272" s="645">
        <v>20000</v>
      </c>
      <c r="E272" s="645"/>
      <c r="F272" s="645"/>
      <c r="G272" s="645"/>
      <c r="H272" s="604"/>
      <c r="I272" s="334"/>
      <c r="J272" s="334"/>
      <c r="K272" s="598"/>
      <c r="L272" s="334"/>
      <c r="M272" s="334"/>
      <c r="N272" s="334"/>
      <c r="O272" s="334"/>
      <c r="P272" s="334"/>
      <c r="Q272" s="334"/>
      <c r="R272" s="334"/>
      <c r="S272" s="334"/>
      <c r="T272" s="334"/>
      <c r="U272" s="334"/>
      <c r="V272" s="334"/>
      <c r="W272" s="334"/>
      <c r="X272" s="334"/>
      <c r="Y272" s="334"/>
      <c r="Z272" s="334"/>
      <c r="AA272" s="334"/>
      <c r="AB272" s="334"/>
      <c r="AC272" s="334"/>
      <c r="AD272" s="334"/>
      <c r="AE272" s="334"/>
      <c r="AF272" s="334"/>
      <c r="AG272" s="334"/>
      <c r="AH272" s="334"/>
      <c r="AI272" s="334"/>
      <c r="AJ272" s="334"/>
      <c r="AK272" s="334"/>
      <c r="AL272" s="334"/>
      <c r="AM272" s="334"/>
      <c r="AN272" s="334"/>
      <c r="AO272" s="334"/>
      <c r="AP272" s="334"/>
      <c r="AQ272" s="334"/>
      <c r="AR272" s="334"/>
      <c r="AS272" s="334"/>
      <c r="AT272" s="334"/>
      <c r="AU272" s="334"/>
    </row>
    <row r="273" spans="1:47" s="177" customFormat="1" ht="21" customHeight="1">
      <c r="A273" s="641" t="s">
        <v>77</v>
      </c>
      <c r="B273" s="81"/>
      <c r="C273" s="82"/>
      <c r="D273" s="603">
        <f>D274+D284+D293+D296+D299+D304+D313+D316</f>
        <v>71280.55</v>
      </c>
      <c r="E273" s="603"/>
      <c r="F273" s="603">
        <f>F274+F284+F293+F296+F299+F304+F313+F316</f>
        <v>34162.2</v>
      </c>
      <c r="G273" s="603"/>
      <c r="H273" s="20"/>
      <c r="I273" s="602"/>
      <c r="J273" s="602"/>
      <c r="K273" s="630"/>
      <c r="L273" s="602"/>
      <c r="M273" s="602"/>
      <c r="N273" s="602"/>
      <c r="O273" s="602"/>
      <c r="P273" s="602"/>
      <c r="Q273" s="602"/>
      <c r="R273" s="602"/>
      <c r="S273" s="602"/>
      <c r="T273" s="602"/>
      <c r="U273" s="602"/>
      <c r="V273" s="602"/>
      <c r="W273" s="602"/>
      <c r="X273" s="602"/>
      <c r="Y273" s="602"/>
      <c r="Z273" s="602"/>
      <c r="AA273" s="602"/>
      <c r="AB273" s="602"/>
      <c r="AC273" s="602"/>
      <c r="AD273" s="602"/>
      <c r="AE273" s="602"/>
      <c r="AF273" s="602"/>
      <c r="AG273" s="602"/>
      <c r="AH273" s="602"/>
      <c r="AI273" s="602"/>
      <c r="AJ273" s="602"/>
      <c r="AK273" s="602"/>
      <c r="AL273" s="602"/>
      <c r="AM273" s="602"/>
      <c r="AN273" s="602"/>
      <c r="AO273" s="602"/>
      <c r="AP273" s="602"/>
      <c r="AQ273" s="602"/>
      <c r="AR273" s="602"/>
      <c r="AS273" s="602"/>
      <c r="AT273" s="602"/>
      <c r="AU273" s="602"/>
    </row>
    <row r="274" spans="1:47" s="34" customFormat="1" ht="21" customHeight="1">
      <c r="A274" s="646"/>
      <c r="B274" s="162" t="s">
        <v>489</v>
      </c>
      <c r="C274" s="85"/>
      <c r="D274" s="645">
        <f>SUM(D275:D283)</f>
        <v>7083</v>
      </c>
      <c r="E274" s="645"/>
      <c r="F274" s="645">
        <f>SUM(F275:F283)</f>
        <v>11231</v>
      </c>
      <c r="G274" s="645"/>
      <c r="H274" s="604"/>
      <c r="I274" s="334"/>
      <c r="J274" s="334"/>
      <c r="K274" s="598"/>
      <c r="L274" s="334"/>
      <c r="M274" s="334"/>
      <c r="N274" s="334"/>
      <c r="O274" s="334"/>
      <c r="P274" s="334"/>
      <c r="Q274" s="334"/>
      <c r="R274" s="334"/>
      <c r="S274" s="334"/>
      <c r="T274" s="334"/>
      <c r="U274" s="334"/>
      <c r="V274" s="334"/>
      <c r="W274" s="334"/>
      <c r="X274" s="334"/>
      <c r="Y274" s="334"/>
      <c r="Z274" s="334"/>
      <c r="AA274" s="334"/>
      <c r="AB274" s="334"/>
      <c r="AC274" s="334"/>
      <c r="AD274" s="334"/>
      <c r="AE274" s="334"/>
      <c r="AF274" s="334"/>
      <c r="AG274" s="334"/>
      <c r="AH274" s="334"/>
      <c r="AI274" s="334"/>
      <c r="AJ274" s="334"/>
      <c r="AK274" s="334"/>
      <c r="AL274" s="334"/>
      <c r="AM274" s="334"/>
      <c r="AN274" s="334"/>
      <c r="AO274" s="334"/>
      <c r="AP274" s="334"/>
      <c r="AQ274" s="334"/>
      <c r="AR274" s="334"/>
      <c r="AS274" s="334"/>
      <c r="AT274" s="334"/>
      <c r="AU274" s="334"/>
    </row>
    <row r="275" spans="1:47" s="34" customFormat="1" ht="21" customHeight="1">
      <c r="A275" s="186"/>
      <c r="B275" s="87"/>
      <c r="C275" s="85" t="s">
        <v>479</v>
      </c>
      <c r="D275" s="645">
        <v>696</v>
      </c>
      <c r="E275" s="645"/>
      <c r="F275" s="645"/>
      <c r="G275" s="645"/>
      <c r="H275" s="604"/>
      <c r="I275" s="334"/>
      <c r="J275" s="334"/>
      <c r="K275" s="598"/>
      <c r="L275" s="334"/>
      <c r="M275" s="334"/>
      <c r="N275" s="334"/>
      <c r="O275" s="334"/>
      <c r="P275" s="334"/>
      <c r="Q275" s="334"/>
      <c r="R275" s="334"/>
      <c r="S275" s="334"/>
      <c r="T275" s="334"/>
      <c r="U275" s="334"/>
      <c r="V275" s="334"/>
      <c r="W275" s="334"/>
      <c r="X275" s="334"/>
      <c r="Y275" s="334"/>
      <c r="Z275" s="334"/>
      <c r="AA275" s="334"/>
      <c r="AB275" s="334"/>
      <c r="AC275" s="334"/>
      <c r="AD275" s="334"/>
      <c r="AE275" s="334"/>
      <c r="AF275" s="334"/>
      <c r="AG275" s="334"/>
      <c r="AH275" s="334"/>
      <c r="AI275" s="334"/>
      <c r="AJ275" s="334"/>
      <c r="AK275" s="334"/>
      <c r="AL275" s="334"/>
      <c r="AM275" s="334"/>
      <c r="AN275" s="334"/>
      <c r="AO275" s="334"/>
      <c r="AP275" s="334"/>
      <c r="AQ275" s="334"/>
      <c r="AR275" s="334"/>
      <c r="AS275" s="334"/>
      <c r="AT275" s="334"/>
      <c r="AU275" s="334"/>
    </row>
    <row r="276" spans="1:47" s="34" customFormat="1" ht="21" customHeight="1">
      <c r="A276" s="186"/>
      <c r="B276" s="87"/>
      <c r="C276" s="85" t="s">
        <v>80</v>
      </c>
      <c r="D276" s="645"/>
      <c r="E276" s="645"/>
      <c r="F276" s="645">
        <v>8000</v>
      </c>
      <c r="G276" s="645"/>
      <c r="H276" s="604"/>
      <c r="I276" s="334"/>
      <c r="J276" s="334"/>
      <c r="K276" s="598"/>
      <c r="L276" s="334"/>
      <c r="M276" s="334"/>
      <c r="N276" s="334"/>
      <c r="O276" s="334"/>
      <c r="P276" s="334"/>
      <c r="Q276" s="334"/>
      <c r="R276" s="334"/>
      <c r="S276" s="334"/>
      <c r="T276" s="334"/>
      <c r="U276" s="334"/>
      <c r="V276" s="334"/>
      <c r="W276" s="334"/>
      <c r="X276" s="334"/>
      <c r="Y276" s="334"/>
      <c r="Z276" s="334"/>
      <c r="AA276" s="334"/>
      <c r="AB276" s="334"/>
      <c r="AC276" s="334"/>
      <c r="AD276" s="334"/>
      <c r="AE276" s="334"/>
      <c r="AF276" s="334"/>
      <c r="AG276" s="334"/>
      <c r="AH276" s="334"/>
      <c r="AI276" s="334"/>
      <c r="AJ276" s="334"/>
      <c r="AK276" s="334"/>
      <c r="AL276" s="334"/>
      <c r="AM276" s="334"/>
      <c r="AN276" s="334"/>
      <c r="AO276" s="334"/>
      <c r="AP276" s="334"/>
      <c r="AQ276" s="334"/>
      <c r="AR276" s="334"/>
      <c r="AS276" s="334"/>
      <c r="AT276" s="334"/>
      <c r="AU276" s="334"/>
    </row>
    <row r="277" spans="1:47" s="34" customFormat="1" ht="21" customHeight="1">
      <c r="A277" s="186"/>
      <c r="B277" s="87"/>
      <c r="C277" s="85" t="s">
        <v>81</v>
      </c>
      <c r="D277" s="645"/>
      <c r="E277" s="645"/>
      <c r="F277" s="645">
        <v>3231</v>
      </c>
      <c r="G277" s="645"/>
      <c r="H277" s="604"/>
      <c r="I277" s="334"/>
      <c r="J277" s="334"/>
      <c r="K277" s="598"/>
      <c r="L277" s="334"/>
      <c r="M277" s="334"/>
      <c r="N277" s="334"/>
      <c r="O277" s="334"/>
      <c r="P277" s="334"/>
      <c r="Q277" s="334"/>
      <c r="R277" s="334"/>
      <c r="S277" s="334"/>
      <c r="T277" s="334"/>
      <c r="U277" s="334"/>
      <c r="V277" s="334"/>
      <c r="W277" s="334"/>
      <c r="X277" s="334"/>
      <c r="Y277" s="334"/>
      <c r="Z277" s="334"/>
      <c r="AA277" s="334"/>
      <c r="AB277" s="334"/>
      <c r="AC277" s="334"/>
      <c r="AD277" s="334"/>
      <c r="AE277" s="334"/>
      <c r="AF277" s="334"/>
      <c r="AG277" s="334"/>
      <c r="AH277" s="334"/>
      <c r="AI277" s="334"/>
      <c r="AJ277" s="334"/>
      <c r="AK277" s="334"/>
      <c r="AL277" s="334"/>
      <c r="AM277" s="334"/>
      <c r="AN277" s="334"/>
      <c r="AO277" s="334"/>
      <c r="AP277" s="334"/>
      <c r="AQ277" s="334"/>
      <c r="AR277" s="334"/>
      <c r="AS277" s="334"/>
      <c r="AT277" s="334"/>
      <c r="AU277" s="334"/>
    </row>
    <row r="278" spans="1:47" s="34" customFormat="1" ht="21" customHeight="1">
      <c r="A278" s="186"/>
      <c r="B278" s="87"/>
      <c r="C278" s="85" t="s">
        <v>490</v>
      </c>
      <c r="D278" s="645">
        <v>61</v>
      </c>
      <c r="E278" s="645"/>
      <c r="F278" s="645"/>
      <c r="G278" s="645"/>
      <c r="H278" s="604"/>
      <c r="I278" s="334"/>
      <c r="J278" s="334"/>
      <c r="K278" s="598"/>
      <c r="L278" s="334"/>
      <c r="M278" s="334"/>
      <c r="N278" s="334"/>
      <c r="O278" s="334"/>
      <c r="P278" s="334"/>
      <c r="Q278" s="334"/>
      <c r="R278" s="334"/>
      <c r="S278" s="334"/>
      <c r="T278" s="334"/>
      <c r="U278" s="334"/>
      <c r="V278" s="334"/>
      <c r="W278" s="334"/>
      <c r="X278" s="334"/>
      <c r="Y278" s="334"/>
      <c r="Z278" s="334"/>
      <c r="AA278" s="334"/>
      <c r="AB278" s="334"/>
      <c r="AC278" s="334"/>
      <c r="AD278" s="334"/>
      <c r="AE278" s="334"/>
      <c r="AF278" s="334"/>
      <c r="AG278" s="334"/>
      <c r="AH278" s="334"/>
      <c r="AI278" s="334"/>
      <c r="AJ278" s="334"/>
      <c r="AK278" s="334"/>
      <c r="AL278" s="334"/>
      <c r="AM278" s="334"/>
      <c r="AN278" s="334"/>
      <c r="AO278" s="334"/>
      <c r="AP278" s="334"/>
      <c r="AQ278" s="334"/>
      <c r="AR278" s="334"/>
      <c r="AS278" s="334"/>
      <c r="AT278" s="334"/>
      <c r="AU278" s="334"/>
    </row>
    <row r="279" spans="1:47" s="34" customFormat="1" ht="21" customHeight="1">
      <c r="A279" s="186"/>
      <c r="B279" s="87"/>
      <c r="C279" s="85" t="s">
        <v>467</v>
      </c>
      <c r="D279" s="645">
        <v>4500</v>
      </c>
      <c r="E279" s="645"/>
      <c r="F279" s="645"/>
      <c r="G279" s="645"/>
      <c r="H279" s="604"/>
      <c r="I279" s="334"/>
      <c r="J279" s="334"/>
      <c r="K279" s="598"/>
      <c r="L279" s="334"/>
      <c r="M279" s="334"/>
      <c r="N279" s="334"/>
      <c r="O279" s="334"/>
      <c r="P279" s="334"/>
      <c r="Q279" s="334"/>
      <c r="R279" s="334"/>
      <c r="S279" s="334"/>
      <c r="T279" s="334"/>
      <c r="U279" s="334"/>
      <c r="V279" s="334"/>
      <c r="W279" s="334"/>
      <c r="X279" s="334"/>
      <c r="Y279" s="334"/>
      <c r="Z279" s="334"/>
      <c r="AA279" s="334"/>
      <c r="AB279" s="334"/>
      <c r="AC279" s="334"/>
      <c r="AD279" s="334"/>
      <c r="AE279" s="334"/>
      <c r="AF279" s="334"/>
      <c r="AG279" s="334"/>
      <c r="AH279" s="334"/>
      <c r="AI279" s="334"/>
      <c r="AJ279" s="334"/>
      <c r="AK279" s="334"/>
      <c r="AL279" s="334"/>
      <c r="AM279" s="334"/>
      <c r="AN279" s="334"/>
      <c r="AO279" s="334"/>
      <c r="AP279" s="334"/>
      <c r="AQ279" s="334"/>
      <c r="AR279" s="334"/>
      <c r="AS279" s="334"/>
      <c r="AT279" s="334"/>
      <c r="AU279" s="334"/>
    </row>
    <row r="280" spans="1:47" s="34" customFormat="1" ht="21" customHeight="1">
      <c r="A280" s="186"/>
      <c r="B280" s="87"/>
      <c r="C280" s="85" t="s">
        <v>446</v>
      </c>
      <c r="D280" s="645">
        <v>1600</v>
      </c>
      <c r="E280" s="645"/>
      <c r="F280" s="645"/>
      <c r="G280" s="645"/>
      <c r="H280" s="604"/>
      <c r="I280" s="334"/>
      <c r="J280" s="334"/>
      <c r="K280" s="598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34"/>
      <c r="X280" s="334"/>
      <c r="Y280" s="334"/>
      <c r="Z280" s="334"/>
      <c r="AA280" s="334"/>
      <c r="AB280" s="334"/>
      <c r="AC280" s="334"/>
      <c r="AD280" s="334"/>
      <c r="AE280" s="334"/>
      <c r="AF280" s="334"/>
      <c r="AG280" s="334"/>
      <c r="AH280" s="334"/>
      <c r="AI280" s="334"/>
      <c r="AJ280" s="334"/>
      <c r="AK280" s="334"/>
      <c r="AL280" s="334"/>
      <c r="AM280" s="334"/>
      <c r="AN280" s="334"/>
      <c r="AO280" s="334"/>
      <c r="AP280" s="334"/>
      <c r="AQ280" s="334"/>
      <c r="AR280" s="334"/>
      <c r="AS280" s="334"/>
      <c r="AT280" s="334"/>
      <c r="AU280" s="334"/>
    </row>
    <row r="281" spans="1:47" s="34" customFormat="1" ht="21" customHeight="1">
      <c r="A281" s="186"/>
      <c r="B281" s="87"/>
      <c r="C281" s="85" t="s">
        <v>469</v>
      </c>
      <c r="D281" s="645">
        <v>150</v>
      </c>
      <c r="E281" s="645"/>
      <c r="F281" s="645"/>
      <c r="G281" s="645"/>
      <c r="H281" s="604"/>
      <c r="I281" s="334"/>
      <c r="J281" s="334"/>
      <c r="K281" s="598"/>
      <c r="L281" s="334"/>
      <c r="M281" s="334"/>
      <c r="N281" s="334"/>
      <c r="O281" s="334"/>
      <c r="P281" s="334"/>
      <c r="Q281" s="334"/>
      <c r="R281" s="334"/>
      <c r="S281" s="334"/>
      <c r="T281" s="334"/>
      <c r="U281" s="334"/>
      <c r="V281" s="334"/>
      <c r="W281" s="334"/>
      <c r="X281" s="334"/>
      <c r="Y281" s="334"/>
      <c r="Z281" s="334"/>
      <c r="AA281" s="334"/>
      <c r="AB281" s="334"/>
      <c r="AC281" s="334"/>
      <c r="AD281" s="334"/>
      <c r="AE281" s="334"/>
      <c r="AF281" s="334"/>
      <c r="AG281" s="334"/>
      <c r="AH281" s="334"/>
      <c r="AI281" s="334"/>
      <c r="AJ281" s="334"/>
      <c r="AK281" s="334"/>
      <c r="AL281" s="334"/>
      <c r="AM281" s="334"/>
      <c r="AN281" s="334"/>
      <c r="AO281" s="334"/>
      <c r="AP281" s="334"/>
      <c r="AQ281" s="334"/>
      <c r="AR281" s="334"/>
      <c r="AS281" s="334"/>
      <c r="AT281" s="334"/>
      <c r="AU281" s="334"/>
    </row>
    <row r="282" spans="1:47" s="34" customFormat="1" ht="21" customHeight="1">
      <c r="A282" s="186"/>
      <c r="B282" s="87"/>
      <c r="C282" s="85" t="s">
        <v>392</v>
      </c>
      <c r="D282" s="645">
        <v>26</v>
      </c>
      <c r="E282" s="645"/>
      <c r="F282" s="645"/>
      <c r="G282" s="645"/>
      <c r="H282" s="604"/>
      <c r="I282" s="334"/>
      <c r="J282" s="334"/>
      <c r="K282" s="598"/>
      <c r="L282" s="334"/>
      <c r="M282" s="334"/>
      <c r="N282" s="334"/>
      <c r="O282" s="334"/>
      <c r="P282" s="334"/>
      <c r="Q282" s="334"/>
      <c r="R282" s="334"/>
      <c r="S282" s="334"/>
      <c r="T282" s="334"/>
      <c r="U282" s="334"/>
      <c r="V282" s="334"/>
      <c r="W282" s="334"/>
      <c r="X282" s="334"/>
      <c r="Y282" s="334"/>
      <c r="Z282" s="334"/>
      <c r="AA282" s="334"/>
      <c r="AB282" s="334"/>
      <c r="AC282" s="334"/>
      <c r="AD282" s="334"/>
      <c r="AE282" s="334"/>
      <c r="AF282" s="334"/>
      <c r="AG282" s="334"/>
      <c r="AH282" s="334"/>
      <c r="AI282" s="334"/>
      <c r="AJ282" s="334"/>
      <c r="AK282" s="334"/>
      <c r="AL282" s="334"/>
      <c r="AM282" s="334"/>
      <c r="AN282" s="334"/>
      <c r="AO282" s="334"/>
      <c r="AP282" s="334"/>
      <c r="AQ282" s="334"/>
      <c r="AR282" s="334"/>
      <c r="AS282" s="334"/>
      <c r="AT282" s="334"/>
      <c r="AU282" s="334"/>
    </row>
    <row r="283" spans="1:47" s="34" customFormat="1" ht="21" customHeight="1">
      <c r="A283" s="186"/>
      <c r="B283" s="87"/>
      <c r="C283" s="85" t="s">
        <v>397</v>
      </c>
      <c r="D283" s="645">
        <v>50</v>
      </c>
      <c r="E283" s="645"/>
      <c r="F283" s="645"/>
      <c r="G283" s="645"/>
      <c r="H283" s="604"/>
      <c r="I283" s="334"/>
      <c r="J283" s="334"/>
      <c r="K283" s="598"/>
      <c r="L283" s="334"/>
      <c r="M283" s="334"/>
      <c r="N283" s="334"/>
      <c r="O283" s="334"/>
      <c r="P283" s="334"/>
      <c r="Q283" s="334"/>
      <c r="R283" s="334"/>
      <c r="S283" s="334"/>
      <c r="T283" s="334"/>
      <c r="U283" s="334"/>
      <c r="V283" s="334"/>
      <c r="W283" s="334"/>
      <c r="X283" s="334"/>
      <c r="Y283" s="334"/>
      <c r="Z283" s="334"/>
      <c r="AA283" s="334"/>
      <c r="AB283" s="334"/>
      <c r="AC283" s="334"/>
      <c r="AD283" s="334"/>
      <c r="AE283" s="334"/>
      <c r="AF283" s="334"/>
      <c r="AG283" s="334"/>
      <c r="AH283" s="334"/>
      <c r="AI283" s="334"/>
      <c r="AJ283" s="334"/>
      <c r="AK283" s="334"/>
      <c r="AL283" s="334"/>
      <c r="AM283" s="334"/>
      <c r="AN283" s="334"/>
      <c r="AO283" s="334"/>
      <c r="AP283" s="334"/>
      <c r="AQ283" s="334"/>
      <c r="AR283" s="334"/>
      <c r="AS283" s="334"/>
      <c r="AT283" s="334"/>
      <c r="AU283" s="334"/>
    </row>
    <row r="284" spans="1:47" s="34" customFormat="1" ht="21" customHeight="1">
      <c r="A284" s="186"/>
      <c r="B284" s="162" t="s">
        <v>491</v>
      </c>
      <c r="C284" s="85"/>
      <c r="D284" s="645">
        <f>SUM(D285:D292)</f>
        <v>6233</v>
      </c>
      <c r="E284" s="645"/>
      <c r="F284" s="645">
        <f>SUM(F285:F292)</f>
        <v>11293</v>
      </c>
      <c r="G284" s="645"/>
      <c r="H284" s="604"/>
      <c r="I284" s="334"/>
      <c r="J284" s="334"/>
      <c r="K284" s="598"/>
      <c r="L284" s="334"/>
      <c r="M284" s="334"/>
      <c r="N284" s="334"/>
      <c r="O284" s="334"/>
      <c r="P284" s="334"/>
      <c r="Q284" s="334"/>
      <c r="R284" s="334"/>
      <c r="S284" s="334"/>
      <c r="T284" s="334"/>
      <c r="U284" s="334"/>
      <c r="V284" s="334"/>
      <c r="W284" s="334"/>
      <c r="X284" s="334"/>
      <c r="Y284" s="334"/>
      <c r="Z284" s="334"/>
      <c r="AA284" s="334"/>
      <c r="AB284" s="334"/>
      <c r="AC284" s="334"/>
      <c r="AD284" s="334"/>
      <c r="AE284" s="334"/>
      <c r="AF284" s="334"/>
      <c r="AG284" s="334"/>
      <c r="AH284" s="334"/>
      <c r="AI284" s="334"/>
      <c r="AJ284" s="334"/>
      <c r="AK284" s="334"/>
      <c r="AL284" s="334"/>
      <c r="AM284" s="334"/>
      <c r="AN284" s="334"/>
      <c r="AO284" s="334"/>
      <c r="AP284" s="334"/>
      <c r="AQ284" s="334"/>
      <c r="AR284" s="334"/>
      <c r="AS284" s="334"/>
      <c r="AT284" s="334"/>
      <c r="AU284" s="334"/>
    </row>
    <row r="285" spans="1:47" s="34" customFormat="1" ht="21" customHeight="1">
      <c r="A285" s="186"/>
      <c r="B285" s="87"/>
      <c r="C285" s="85" t="s">
        <v>479</v>
      </c>
      <c r="D285" s="645">
        <v>200</v>
      </c>
      <c r="E285" s="645"/>
      <c r="F285" s="645"/>
      <c r="G285" s="645"/>
      <c r="H285" s="604"/>
      <c r="I285" s="334"/>
      <c r="J285" s="334"/>
      <c r="K285" s="598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4"/>
      <c r="AA285" s="334"/>
      <c r="AB285" s="334"/>
      <c r="AC285" s="334"/>
      <c r="AD285" s="334"/>
      <c r="AE285" s="334"/>
      <c r="AF285" s="334"/>
      <c r="AG285" s="334"/>
      <c r="AH285" s="334"/>
      <c r="AI285" s="334"/>
      <c r="AJ285" s="334"/>
      <c r="AK285" s="334"/>
      <c r="AL285" s="334"/>
      <c r="AM285" s="334"/>
      <c r="AN285" s="334"/>
      <c r="AO285" s="334"/>
      <c r="AP285" s="334"/>
      <c r="AQ285" s="334"/>
      <c r="AR285" s="334"/>
      <c r="AS285" s="334"/>
      <c r="AT285" s="334"/>
      <c r="AU285" s="334"/>
    </row>
    <row r="286" spans="1:47" s="34" customFormat="1" ht="21" customHeight="1">
      <c r="A286" s="186"/>
      <c r="B286" s="87"/>
      <c r="C286" s="85" t="s">
        <v>80</v>
      </c>
      <c r="D286" s="645"/>
      <c r="E286" s="645"/>
      <c r="F286" s="645">
        <v>8000</v>
      </c>
      <c r="G286" s="645"/>
      <c r="H286" s="604"/>
      <c r="I286" s="334"/>
      <c r="J286" s="334"/>
      <c r="K286" s="598"/>
      <c r="L286" s="334"/>
      <c r="M286" s="334"/>
      <c r="N286" s="334"/>
      <c r="O286" s="334"/>
      <c r="P286" s="334"/>
      <c r="Q286" s="334"/>
      <c r="R286" s="334"/>
      <c r="S286" s="334"/>
      <c r="T286" s="334"/>
      <c r="U286" s="334"/>
      <c r="V286" s="334"/>
      <c r="W286" s="334"/>
      <c r="X286" s="334"/>
      <c r="Y286" s="334"/>
      <c r="Z286" s="334"/>
      <c r="AA286" s="334"/>
      <c r="AB286" s="334"/>
      <c r="AC286" s="334"/>
      <c r="AD286" s="334"/>
      <c r="AE286" s="334"/>
      <c r="AF286" s="334"/>
      <c r="AG286" s="334"/>
      <c r="AH286" s="334"/>
      <c r="AI286" s="334"/>
      <c r="AJ286" s="334"/>
      <c r="AK286" s="334"/>
      <c r="AL286" s="334"/>
      <c r="AM286" s="334"/>
      <c r="AN286" s="334"/>
      <c r="AO286" s="334"/>
      <c r="AP286" s="334"/>
      <c r="AQ286" s="334"/>
      <c r="AR286" s="334"/>
      <c r="AS286" s="334"/>
      <c r="AT286" s="334"/>
      <c r="AU286" s="334"/>
    </row>
    <row r="287" spans="1:47" s="34" customFormat="1" ht="21" customHeight="1">
      <c r="A287" s="186"/>
      <c r="B287" s="87"/>
      <c r="C287" s="85" t="s">
        <v>81</v>
      </c>
      <c r="D287" s="645"/>
      <c r="E287" s="645"/>
      <c r="F287" s="645">
        <v>3293</v>
      </c>
      <c r="G287" s="645"/>
      <c r="H287" s="604"/>
      <c r="I287" s="334"/>
      <c r="J287" s="334"/>
      <c r="K287" s="598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34"/>
      <c r="X287" s="334"/>
      <c r="Y287" s="334"/>
      <c r="Z287" s="334"/>
      <c r="AA287" s="334"/>
      <c r="AB287" s="334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</row>
    <row r="288" spans="1:47" s="34" customFormat="1" ht="21" customHeight="1">
      <c r="A288" s="186"/>
      <c r="B288" s="87"/>
      <c r="C288" s="85" t="s">
        <v>490</v>
      </c>
      <c r="D288" s="645">
        <v>63</v>
      </c>
      <c r="E288" s="645"/>
      <c r="F288" s="645"/>
      <c r="G288" s="645"/>
      <c r="H288" s="604"/>
      <c r="I288" s="334"/>
      <c r="J288" s="334"/>
      <c r="K288" s="598"/>
      <c r="L288" s="334"/>
      <c r="M288" s="334"/>
      <c r="N288" s="334"/>
      <c r="O288" s="334"/>
      <c r="P288" s="334"/>
      <c r="Q288" s="334"/>
      <c r="R288" s="334"/>
      <c r="S288" s="334"/>
      <c r="T288" s="334"/>
      <c r="U288" s="334"/>
      <c r="V288" s="334"/>
      <c r="W288" s="334"/>
      <c r="X288" s="334"/>
      <c r="Y288" s="334"/>
      <c r="Z288" s="334"/>
      <c r="AA288" s="334"/>
      <c r="AB288" s="334"/>
      <c r="AC288" s="334"/>
      <c r="AD288" s="334"/>
      <c r="AE288" s="334"/>
      <c r="AF288" s="334"/>
      <c r="AG288" s="334"/>
      <c r="AH288" s="334"/>
      <c r="AI288" s="334"/>
      <c r="AJ288" s="334"/>
      <c r="AK288" s="334"/>
      <c r="AL288" s="334"/>
      <c r="AM288" s="334"/>
      <c r="AN288" s="334"/>
      <c r="AO288" s="334"/>
      <c r="AP288" s="334"/>
      <c r="AQ288" s="334"/>
      <c r="AR288" s="334"/>
      <c r="AS288" s="334"/>
      <c r="AT288" s="334"/>
      <c r="AU288" s="334"/>
    </row>
    <row r="289" spans="1:47" s="34" customFormat="1" ht="21" customHeight="1">
      <c r="A289" s="186"/>
      <c r="B289" s="87"/>
      <c r="C289" s="85" t="s">
        <v>467</v>
      </c>
      <c r="D289" s="645">
        <v>4500</v>
      </c>
      <c r="E289" s="645"/>
      <c r="F289" s="645"/>
      <c r="G289" s="645"/>
      <c r="H289" s="604"/>
      <c r="I289" s="334"/>
      <c r="J289" s="334"/>
      <c r="K289" s="598"/>
      <c r="L289" s="334"/>
      <c r="M289" s="334"/>
      <c r="N289" s="334"/>
      <c r="O289" s="334"/>
      <c r="P289" s="334"/>
      <c r="Q289" s="334"/>
      <c r="R289" s="334"/>
      <c r="S289" s="334"/>
      <c r="T289" s="334"/>
      <c r="U289" s="334"/>
      <c r="V289" s="334"/>
      <c r="W289" s="334"/>
      <c r="X289" s="334"/>
      <c r="Y289" s="334"/>
      <c r="Z289" s="334"/>
      <c r="AA289" s="334"/>
      <c r="AB289" s="334"/>
      <c r="AC289" s="334"/>
      <c r="AD289" s="334"/>
      <c r="AE289" s="334"/>
      <c r="AF289" s="334"/>
      <c r="AG289" s="334"/>
      <c r="AH289" s="334"/>
      <c r="AI289" s="334"/>
      <c r="AJ289" s="334"/>
      <c r="AK289" s="334"/>
      <c r="AL289" s="334"/>
      <c r="AM289" s="334"/>
      <c r="AN289" s="334"/>
      <c r="AO289" s="334"/>
      <c r="AP289" s="334"/>
      <c r="AQ289" s="334"/>
      <c r="AR289" s="334"/>
      <c r="AS289" s="334"/>
      <c r="AT289" s="334"/>
      <c r="AU289" s="334"/>
    </row>
    <row r="290" spans="1:47" s="34" customFormat="1" ht="21" customHeight="1">
      <c r="A290" s="186"/>
      <c r="B290" s="87"/>
      <c r="C290" s="85" t="s">
        <v>446</v>
      </c>
      <c r="D290" s="645">
        <v>1300</v>
      </c>
      <c r="E290" s="645"/>
      <c r="F290" s="645"/>
      <c r="G290" s="645"/>
      <c r="H290" s="604"/>
      <c r="I290" s="334"/>
      <c r="J290" s="334"/>
      <c r="K290" s="598"/>
      <c r="L290" s="334"/>
      <c r="M290" s="334"/>
      <c r="N290" s="334"/>
      <c r="O290" s="334"/>
      <c r="P290" s="334"/>
      <c r="Q290" s="334"/>
      <c r="R290" s="334"/>
      <c r="S290" s="334"/>
      <c r="T290" s="334"/>
      <c r="U290" s="334"/>
      <c r="V290" s="334"/>
      <c r="W290" s="334"/>
      <c r="X290" s="334"/>
      <c r="Y290" s="334"/>
      <c r="Z290" s="334"/>
      <c r="AA290" s="334"/>
      <c r="AB290" s="334"/>
      <c r="AC290" s="334"/>
      <c r="AD290" s="334"/>
      <c r="AE290" s="334"/>
      <c r="AF290" s="334"/>
      <c r="AG290" s="334"/>
      <c r="AH290" s="334"/>
      <c r="AI290" s="334"/>
      <c r="AJ290" s="334"/>
      <c r="AK290" s="334"/>
      <c r="AL290" s="334"/>
      <c r="AM290" s="334"/>
      <c r="AN290" s="334"/>
      <c r="AO290" s="334"/>
      <c r="AP290" s="334"/>
      <c r="AQ290" s="334"/>
      <c r="AR290" s="334"/>
      <c r="AS290" s="334"/>
      <c r="AT290" s="334"/>
      <c r="AU290" s="334"/>
    </row>
    <row r="291" spans="1:47" s="34" customFormat="1" ht="21" customHeight="1">
      <c r="A291" s="186"/>
      <c r="B291" s="87"/>
      <c r="C291" s="85" t="s">
        <v>469</v>
      </c>
      <c r="D291" s="645">
        <v>150</v>
      </c>
      <c r="E291" s="645"/>
      <c r="F291" s="645"/>
      <c r="G291" s="645"/>
      <c r="H291" s="604"/>
      <c r="I291" s="334"/>
      <c r="J291" s="334"/>
      <c r="K291" s="598"/>
      <c r="L291" s="334"/>
      <c r="M291" s="334"/>
      <c r="N291" s="334"/>
      <c r="O291" s="334"/>
      <c r="P291" s="334"/>
      <c r="Q291" s="334"/>
      <c r="R291" s="334"/>
      <c r="S291" s="334"/>
      <c r="T291" s="334"/>
      <c r="U291" s="334"/>
      <c r="V291" s="334"/>
      <c r="W291" s="334"/>
      <c r="X291" s="334"/>
      <c r="Y291" s="334"/>
      <c r="Z291" s="334"/>
      <c r="AA291" s="334"/>
      <c r="AB291" s="334"/>
      <c r="AC291" s="334"/>
      <c r="AD291" s="334"/>
      <c r="AE291" s="334"/>
      <c r="AF291" s="334"/>
      <c r="AG291" s="334"/>
      <c r="AH291" s="334"/>
      <c r="AI291" s="334"/>
      <c r="AJ291" s="334"/>
      <c r="AK291" s="334"/>
      <c r="AL291" s="334"/>
      <c r="AM291" s="334"/>
      <c r="AN291" s="334"/>
      <c r="AO291" s="334"/>
      <c r="AP291" s="334"/>
      <c r="AQ291" s="334"/>
      <c r="AR291" s="334"/>
      <c r="AS291" s="334"/>
      <c r="AT291" s="334"/>
      <c r="AU291" s="334"/>
    </row>
    <row r="292" spans="1:47" s="34" customFormat="1" ht="21" customHeight="1">
      <c r="A292" s="186"/>
      <c r="B292" s="87"/>
      <c r="C292" s="85" t="s">
        <v>397</v>
      </c>
      <c r="D292" s="645">
        <v>20</v>
      </c>
      <c r="E292" s="645"/>
      <c r="F292" s="645"/>
      <c r="G292" s="645"/>
      <c r="H292" s="604"/>
      <c r="I292" s="334"/>
      <c r="J292" s="334"/>
      <c r="K292" s="598"/>
      <c r="L292" s="334"/>
      <c r="M292" s="334"/>
      <c r="N292" s="334"/>
      <c r="O292" s="334"/>
      <c r="P292" s="334"/>
      <c r="Q292" s="334"/>
      <c r="R292" s="334"/>
      <c r="S292" s="334"/>
      <c r="T292" s="334"/>
      <c r="U292" s="334"/>
      <c r="V292" s="334"/>
      <c r="W292" s="334"/>
      <c r="X292" s="334"/>
      <c r="Y292" s="334"/>
      <c r="Z292" s="334"/>
      <c r="AA292" s="334"/>
      <c r="AB292" s="334"/>
      <c r="AC292" s="334"/>
      <c r="AD292" s="334"/>
      <c r="AE292" s="334"/>
      <c r="AF292" s="334"/>
      <c r="AG292" s="334"/>
      <c r="AH292" s="334"/>
      <c r="AI292" s="334"/>
      <c r="AJ292" s="334"/>
      <c r="AK292" s="334"/>
      <c r="AL292" s="334"/>
      <c r="AM292" s="334"/>
      <c r="AN292" s="334"/>
      <c r="AO292" s="334"/>
      <c r="AP292" s="334"/>
      <c r="AQ292" s="334"/>
      <c r="AR292" s="334"/>
      <c r="AS292" s="334"/>
      <c r="AT292" s="334"/>
      <c r="AU292" s="334"/>
    </row>
    <row r="293" spans="1:47" s="34" customFormat="1" ht="21" customHeight="1">
      <c r="A293" s="87"/>
      <c r="B293" s="162" t="s">
        <v>461</v>
      </c>
      <c r="C293" s="85"/>
      <c r="D293" s="645">
        <f>SUM(D294:D295)</f>
        <v>36100</v>
      </c>
      <c r="E293" s="645"/>
      <c r="F293" s="645">
        <f>SUM(F294:F295)</f>
        <v>0</v>
      </c>
      <c r="G293" s="645"/>
      <c r="H293" s="604"/>
      <c r="I293" s="334"/>
      <c r="J293" s="334"/>
      <c r="K293" s="598"/>
      <c r="L293" s="334"/>
      <c r="M293" s="334"/>
      <c r="N293" s="334"/>
      <c r="O293" s="334"/>
      <c r="P293" s="334"/>
      <c r="Q293" s="334"/>
      <c r="R293" s="334"/>
      <c r="S293" s="334"/>
      <c r="T293" s="334"/>
      <c r="U293" s="334"/>
      <c r="V293" s="334"/>
      <c r="W293" s="334"/>
      <c r="X293" s="334"/>
      <c r="Y293" s="334"/>
      <c r="Z293" s="334"/>
      <c r="AA293" s="334"/>
      <c r="AB293" s="334"/>
      <c r="AC293" s="334"/>
      <c r="AD293" s="334"/>
      <c r="AE293" s="334"/>
      <c r="AF293" s="334"/>
      <c r="AG293" s="334"/>
      <c r="AH293" s="334"/>
      <c r="AI293" s="334"/>
      <c r="AJ293" s="334"/>
      <c r="AK293" s="334"/>
      <c r="AL293" s="334"/>
      <c r="AM293" s="334"/>
      <c r="AN293" s="334"/>
      <c r="AO293" s="334"/>
      <c r="AP293" s="334"/>
      <c r="AQ293" s="334"/>
      <c r="AR293" s="334"/>
      <c r="AS293" s="334"/>
      <c r="AT293" s="334"/>
      <c r="AU293" s="334"/>
    </row>
    <row r="294" spans="1:47" s="34" customFormat="1" ht="21" customHeight="1">
      <c r="A294" s="186"/>
      <c r="B294" s="83"/>
      <c r="C294" s="85" t="s">
        <v>459</v>
      </c>
      <c r="D294" s="645">
        <f>2300+4000+18800</f>
        <v>25100</v>
      </c>
      <c r="E294" s="645"/>
      <c r="F294" s="645"/>
      <c r="G294" s="645"/>
      <c r="H294" s="604"/>
      <c r="I294" s="334"/>
      <c r="J294" s="334"/>
      <c r="K294" s="598"/>
      <c r="L294" s="334"/>
      <c r="M294" s="334"/>
      <c r="N294" s="334"/>
      <c r="O294" s="334"/>
      <c r="P294" s="334"/>
      <c r="Q294" s="334"/>
      <c r="R294" s="334"/>
      <c r="S294" s="334"/>
      <c r="T294" s="334"/>
      <c r="U294" s="334"/>
      <c r="V294" s="334"/>
      <c r="W294" s="334"/>
      <c r="X294" s="334"/>
      <c r="Y294" s="334"/>
      <c r="Z294" s="334"/>
      <c r="AA294" s="334"/>
      <c r="AB294" s="334"/>
      <c r="AC294" s="334"/>
      <c r="AD294" s="334"/>
      <c r="AE294" s="334"/>
      <c r="AF294" s="334"/>
      <c r="AG294" s="334"/>
      <c r="AH294" s="334"/>
      <c r="AI294" s="334"/>
      <c r="AJ294" s="334"/>
      <c r="AK294" s="334"/>
      <c r="AL294" s="334"/>
      <c r="AM294" s="334"/>
      <c r="AN294" s="334"/>
      <c r="AO294" s="334"/>
      <c r="AP294" s="334"/>
      <c r="AQ294" s="334"/>
      <c r="AR294" s="334"/>
      <c r="AS294" s="334"/>
      <c r="AT294" s="334"/>
      <c r="AU294" s="334"/>
    </row>
    <row r="295" spans="1:47" s="34" customFormat="1" ht="21" customHeight="1">
      <c r="A295" s="186"/>
      <c r="B295" s="87"/>
      <c r="C295" s="85" t="s">
        <v>462</v>
      </c>
      <c r="D295" s="645">
        <v>11000</v>
      </c>
      <c r="E295" s="645"/>
      <c r="F295" s="645"/>
      <c r="G295" s="645"/>
      <c r="H295" s="604"/>
      <c r="I295" s="334"/>
      <c r="J295" s="334"/>
      <c r="K295" s="598"/>
      <c r="L295" s="334"/>
      <c r="M295" s="334"/>
      <c r="N295" s="334"/>
      <c r="O295" s="334"/>
      <c r="P295" s="334"/>
      <c r="Q295" s="334"/>
      <c r="R295" s="334"/>
      <c r="S295" s="334"/>
      <c r="T295" s="334"/>
      <c r="U295" s="334"/>
      <c r="V295" s="334"/>
      <c r="W295" s="334"/>
      <c r="X295" s="334"/>
      <c r="Y295" s="334"/>
      <c r="Z295" s="334"/>
      <c r="AA295" s="334"/>
      <c r="AB295" s="334"/>
      <c r="AC295" s="334"/>
      <c r="AD295" s="334"/>
      <c r="AE295" s="334"/>
      <c r="AF295" s="334"/>
      <c r="AG295" s="334"/>
      <c r="AH295" s="334"/>
      <c r="AI295" s="334"/>
      <c r="AJ295" s="334"/>
      <c r="AK295" s="334"/>
      <c r="AL295" s="334"/>
      <c r="AM295" s="334"/>
      <c r="AN295" s="334"/>
      <c r="AO295" s="334"/>
      <c r="AP295" s="334"/>
      <c r="AQ295" s="334"/>
      <c r="AR295" s="334"/>
      <c r="AS295" s="334"/>
      <c r="AT295" s="334"/>
      <c r="AU295" s="334"/>
    </row>
    <row r="296" spans="1:47" s="34" customFormat="1" ht="21" customHeight="1">
      <c r="A296" s="87"/>
      <c r="B296" s="162" t="s">
        <v>463</v>
      </c>
      <c r="C296" s="85"/>
      <c r="D296" s="645">
        <f>SUM(D297:D298)</f>
        <v>0</v>
      </c>
      <c r="E296" s="645"/>
      <c r="F296" s="645">
        <f>SUM(F297:F298)</f>
        <v>6378</v>
      </c>
      <c r="G296" s="645"/>
      <c r="H296" s="604"/>
      <c r="I296" s="334"/>
      <c r="J296" s="334"/>
      <c r="K296" s="598"/>
      <c r="L296" s="334"/>
      <c r="M296" s="334"/>
      <c r="N296" s="334"/>
      <c r="O296" s="334"/>
      <c r="P296" s="334"/>
      <c r="Q296" s="334"/>
      <c r="R296" s="334"/>
      <c r="S296" s="334"/>
      <c r="T296" s="334"/>
      <c r="U296" s="334"/>
      <c r="V296" s="334"/>
      <c r="W296" s="334"/>
      <c r="X296" s="334"/>
      <c r="Y296" s="334"/>
      <c r="Z296" s="334"/>
      <c r="AA296" s="334"/>
      <c r="AB296" s="334"/>
      <c r="AC296" s="334"/>
      <c r="AD296" s="334"/>
      <c r="AE296" s="334"/>
      <c r="AF296" s="334"/>
      <c r="AG296" s="334"/>
      <c r="AH296" s="334"/>
      <c r="AI296" s="334"/>
      <c r="AJ296" s="334"/>
      <c r="AK296" s="334"/>
      <c r="AL296" s="334"/>
      <c r="AM296" s="334"/>
      <c r="AN296" s="334"/>
      <c r="AO296" s="334"/>
      <c r="AP296" s="334"/>
      <c r="AQ296" s="334"/>
      <c r="AR296" s="334"/>
      <c r="AS296" s="334"/>
      <c r="AT296" s="334"/>
      <c r="AU296" s="334"/>
    </row>
    <row r="297" spans="1:47" s="34" customFormat="1" ht="21" customHeight="1">
      <c r="A297" s="186"/>
      <c r="B297" s="83"/>
      <c r="C297" s="85" t="s">
        <v>459</v>
      </c>
      <c r="D297" s="645"/>
      <c r="E297" s="645"/>
      <c r="F297" s="645">
        <f>11710+10000-12400-6000</f>
        <v>3310</v>
      </c>
      <c r="G297" s="645"/>
      <c r="H297" s="604"/>
      <c r="I297" s="334"/>
      <c r="J297" s="334"/>
      <c r="K297" s="598"/>
      <c r="L297" s="334"/>
      <c r="M297" s="334"/>
      <c r="N297" s="334"/>
      <c r="O297" s="334"/>
      <c r="P297" s="334"/>
      <c r="Q297" s="334"/>
      <c r="R297" s="334"/>
      <c r="S297" s="334"/>
      <c r="T297" s="334"/>
      <c r="U297" s="334"/>
      <c r="V297" s="334"/>
      <c r="W297" s="334"/>
      <c r="X297" s="334"/>
      <c r="Y297" s="334"/>
      <c r="Z297" s="334"/>
      <c r="AA297" s="334"/>
      <c r="AB297" s="334"/>
      <c r="AC297" s="334"/>
      <c r="AD297" s="334"/>
      <c r="AE297" s="334"/>
      <c r="AF297" s="334"/>
      <c r="AG297" s="334"/>
      <c r="AH297" s="334"/>
      <c r="AI297" s="334"/>
      <c r="AJ297" s="334"/>
      <c r="AK297" s="334"/>
      <c r="AL297" s="334"/>
      <c r="AM297" s="334"/>
      <c r="AN297" s="334"/>
      <c r="AO297" s="334"/>
      <c r="AP297" s="334"/>
      <c r="AQ297" s="334"/>
      <c r="AR297" s="334"/>
      <c r="AS297" s="334"/>
      <c r="AT297" s="334"/>
      <c r="AU297" s="334"/>
    </row>
    <row r="298" spans="1:47" s="34" customFormat="1" ht="21" customHeight="1">
      <c r="A298" s="186"/>
      <c r="B298" s="87"/>
      <c r="C298" s="85" t="s">
        <v>80</v>
      </c>
      <c r="D298" s="645"/>
      <c r="E298" s="645"/>
      <c r="F298" s="645">
        <v>3068</v>
      </c>
      <c r="G298" s="645"/>
      <c r="H298" s="604"/>
      <c r="I298" s="334"/>
      <c r="J298" s="334"/>
      <c r="K298" s="598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4"/>
      <c r="AC298" s="334"/>
      <c r="AD298" s="334"/>
      <c r="AE298" s="334"/>
      <c r="AF298" s="334"/>
      <c r="AG298" s="334"/>
      <c r="AH298" s="334"/>
      <c r="AI298" s="334"/>
      <c r="AJ298" s="334"/>
      <c r="AK298" s="334"/>
      <c r="AL298" s="334"/>
      <c r="AM298" s="334"/>
      <c r="AN298" s="334"/>
      <c r="AO298" s="334"/>
      <c r="AP298" s="334"/>
      <c r="AQ298" s="334"/>
      <c r="AR298" s="334"/>
      <c r="AS298" s="334"/>
      <c r="AT298" s="334"/>
      <c r="AU298" s="334"/>
    </row>
    <row r="299" spans="1:47" s="34" customFormat="1" ht="21" customHeight="1">
      <c r="A299" s="186"/>
      <c r="B299" s="162" t="s">
        <v>492</v>
      </c>
      <c r="C299" s="85"/>
      <c r="D299" s="645">
        <f>SUM(D300:D303)</f>
        <v>360</v>
      </c>
      <c r="E299" s="645"/>
      <c r="F299" s="645">
        <f>SUM(F300:F303)</f>
        <v>1900</v>
      </c>
      <c r="G299" s="645"/>
      <c r="H299" s="604"/>
      <c r="I299" s="334"/>
      <c r="J299" s="334"/>
      <c r="K299" s="598"/>
      <c r="L299" s="334"/>
      <c r="M299" s="334"/>
      <c r="N299" s="334"/>
      <c r="O299" s="334"/>
      <c r="P299" s="334"/>
      <c r="Q299" s="334"/>
      <c r="R299" s="334"/>
      <c r="S299" s="334"/>
      <c r="T299" s="334"/>
      <c r="U299" s="334"/>
      <c r="V299" s="334"/>
      <c r="W299" s="334"/>
      <c r="X299" s="334"/>
      <c r="Y299" s="334"/>
      <c r="Z299" s="334"/>
      <c r="AA299" s="334"/>
      <c r="AB299" s="334"/>
      <c r="AC299" s="334"/>
      <c r="AD299" s="334"/>
      <c r="AE299" s="334"/>
      <c r="AF299" s="334"/>
      <c r="AG299" s="334"/>
      <c r="AH299" s="334"/>
      <c r="AI299" s="334"/>
      <c r="AJ299" s="334"/>
      <c r="AK299" s="334"/>
      <c r="AL299" s="334"/>
      <c r="AM299" s="334"/>
      <c r="AN299" s="334"/>
      <c r="AO299" s="334"/>
      <c r="AP299" s="334"/>
      <c r="AQ299" s="334"/>
      <c r="AR299" s="334"/>
      <c r="AS299" s="334"/>
      <c r="AT299" s="334"/>
      <c r="AU299" s="334"/>
    </row>
    <row r="300" spans="1:47" s="34" customFormat="1" ht="21" customHeight="1">
      <c r="A300" s="186"/>
      <c r="B300" s="87"/>
      <c r="C300" s="85" t="s">
        <v>479</v>
      </c>
      <c r="D300" s="645">
        <v>120</v>
      </c>
      <c r="E300" s="645"/>
      <c r="F300" s="645"/>
      <c r="G300" s="645"/>
      <c r="H300" s="604"/>
      <c r="I300" s="334"/>
      <c r="J300" s="334"/>
      <c r="K300" s="598"/>
      <c r="L300" s="334"/>
      <c r="M300" s="334"/>
      <c r="N300" s="334"/>
      <c r="O300" s="334"/>
      <c r="P300" s="334"/>
      <c r="Q300" s="334"/>
      <c r="R300" s="334"/>
      <c r="S300" s="334"/>
      <c r="T300" s="334"/>
      <c r="U300" s="334"/>
      <c r="V300" s="334"/>
      <c r="W300" s="334"/>
      <c r="X300" s="334"/>
      <c r="Y300" s="334"/>
      <c r="Z300" s="334"/>
      <c r="AA300" s="334"/>
      <c r="AB300" s="334"/>
      <c r="AC300" s="334"/>
      <c r="AD300" s="334"/>
      <c r="AE300" s="334"/>
      <c r="AF300" s="334"/>
      <c r="AG300" s="334"/>
      <c r="AH300" s="334"/>
      <c r="AI300" s="334"/>
      <c r="AJ300" s="334"/>
      <c r="AK300" s="334"/>
      <c r="AL300" s="334"/>
      <c r="AM300" s="334"/>
      <c r="AN300" s="334"/>
      <c r="AO300" s="334"/>
      <c r="AP300" s="334"/>
      <c r="AQ300" s="334"/>
      <c r="AR300" s="334"/>
      <c r="AS300" s="334"/>
      <c r="AT300" s="334"/>
      <c r="AU300" s="334"/>
    </row>
    <row r="301" spans="1:47" s="34" customFormat="1" ht="21" customHeight="1">
      <c r="A301" s="186"/>
      <c r="B301" s="87"/>
      <c r="C301" s="85" t="s">
        <v>80</v>
      </c>
      <c r="D301" s="645"/>
      <c r="E301" s="645"/>
      <c r="F301" s="645">
        <v>1000</v>
      </c>
      <c r="G301" s="645"/>
      <c r="H301" s="604"/>
      <c r="I301" s="334"/>
      <c r="J301" s="334"/>
      <c r="K301" s="598"/>
      <c r="L301" s="334"/>
      <c r="M301" s="334"/>
      <c r="N301" s="334"/>
      <c r="O301" s="334"/>
      <c r="P301" s="334"/>
      <c r="Q301" s="334"/>
      <c r="R301" s="334"/>
      <c r="S301" s="334"/>
      <c r="T301" s="334"/>
      <c r="U301" s="334"/>
      <c r="V301" s="334"/>
      <c r="W301" s="334"/>
      <c r="X301" s="334"/>
      <c r="Y301" s="334"/>
      <c r="Z301" s="334"/>
      <c r="AA301" s="334"/>
      <c r="AB301" s="334"/>
      <c r="AC301" s="334"/>
      <c r="AD301" s="334"/>
      <c r="AE301" s="334"/>
      <c r="AF301" s="334"/>
      <c r="AG301" s="334"/>
      <c r="AH301" s="334"/>
      <c r="AI301" s="334"/>
      <c r="AJ301" s="334"/>
      <c r="AK301" s="334"/>
      <c r="AL301" s="334"/>
      <c r="AM301" s="334"/>
      <c r="AN301" s="334"/>
      <c r="AO301" s="334"/>
      <c r="AP301" s="334"/>
      <c r="AQ301" s="334"/>
      <c r="AR301" s="334"/>
      <c r="AS301" s="334"/>
      <c r="AT301" s="334"/>
      <c r="AU301" s="334"/>
    </row>
    <row r="302" spans="1:47" s="34" customFormat="1" ht="21" customHeight="1">
      <c r="A302" s="186"/>
      <c r="B302" s="87"/>
      <c r="C302" s="85" t="s">
        <v>81</v>
      </c>
      <c r="D302" s="645"/>
      <c r="E302" s="645"/>
      <c r="F302" s="645">
        <v>900</v>
      </c>
      <c r="G302" s="645"/>
      <c r="H302" s="604"/>
      <c r="I302" s="334"/>
      <c r="J302" s="334"/>
      <c r="K302" s="598"/>
      <c r="L302" s="334"/>
      <c r="M302" s="334"/>
      <c r="N302" s="334"/>
      <c r="O302" s="334"/>
      <c r="P302" s="334"/>
      <c r="Q302" s="334"/>
      <c r="R302" s="334"/>
      <c r="S302" s="334"/>
      <c r="T302" s="334"/>
      <c r="U302" s="334"/>
      <c r="V302" s="334"/>
      <c r="W302" s="334"/>
      <c r="X302" s="334"/>
      <c r="Y302" s="334"/>
      <c r="Z302" s="334"/>
      <c r="AA302" s="334"/>
      <c r="AB302" s="334"/>
      <c r="AC302" s="334"/>
      <c r="AD302" s="334"/>
      <c r="AE302" s="334"/>
      <c r="AF302" s="334"/>
      <c r="AG302" s="334"/>
      <c r="AH302" s="334"/>
      <c r="AI302" s="334"/>
      <c r="AJ302" s="334"/>
      <c r="AK302" s="334"/>
      <c r="AL302" s="334"/>
      <c r="AM302" s="334"/>
      <c r="AN302" s="334"/>
      <c r="AO302" s="334"/>
      <c r="AP302" s="334"/>
      <c r="AQ302" s="334"/>
      <c r="AR302" s="334"/>
      <c r="AS302" s="334"/>
      <c r="AT302" s="334"/>
      <c r="AU302" s="334"/>
    </row>
    <row r="303" spans="1:47" s="34" customFormat="1" ht="21" customHeight="1">
      <c r="A303" s="186"/>
      <c r="B303" s="87"/>
      <c r="C303" s="85" t="s">
        <v>397</v>
      </c>
      <c r="D303" s="645">
        <v>240</v>
      </c>
      <c r="E303" s="645"/>
      <c r="F303" s="645"/>
      <c r="G303" s="645"/>
      <c r="H303" s="604"/>
      <c r="I303" s="334"/>
      <c r="J303" s="334"/>
      <c r="K303" s="598"/>
      <c r="L303" s="334"/>
      <c r="M303" s="334"/>
      <c r="N303" s="334"/>
      <c r="O303" s="334"/>
      <c r="P303" s="334"/>
      <c r="Q303" s="334"/>
      <c r="R303" s="334"/>
      <c r="S303" s="334"/>
      <c r="T303" s="334"/>
      <c r="U303" s="334"/>
      <c r="V303" s="334"/>
      <c r="W303" s="334"/>
      <c r="X303" s="334"/>
      <c r="Y303" s="334"/>
      <c r="Z303" s="334"/>
      <c r="AA303" s="334"/>
      <c r="AB303" s="334"/>
      <c r="AC303" s="334"/>
      <c r="AD303" s="334"/>
      <c r="AE303" s="334"/>
      <c r="AF303" s="334"/>
      <c r="AG303" s="334"/>
      <c r="AH303" s="334"/>
      <c r="AI303" s="334"/>
      <c r="AJ303" s="334"/>
      <c r="AK303" s="334"/>
      <c r="AL303" s="334"/>
      <c r="AM303" s="334"/>
      <c r="AN303" s="334"/>
      <c r="AO303" s="334"/>
      <c r="AP303" s="334"/>
      <c r="AQ303" s="334"/>
      <c r="AR303" s="334"/>
      <c r="AS303" s="334"/>
      <c r="AT303" s="334"/>
      <c r="AU303" s="334"/>
    </row>
    <row r="304" spans="1:47" s="34" customFormat="1" ht="21" customHeight="1">
      <c r="A304" s="186"/>
      <c r="B304" s="162" t="s">
        <v>493</v>
      </c>
      <c r="C304" s="85"/>
      <c r="D304" s="645">
        <f>SUM(D305:D312)</f>
        <v>19304</v>
      </c>
      <c r="E304" s="645"/>
      <c r="F304" s="645">
        <f>SUM(F305:F312)</f>
        <v>0</v>
      </c>
      <c r="G304" s="645"/>
      <c r="H304" s="604"/>
      <c r="I304" s="334"/>
      <c r="J304" s="334"/>
      <c r="K304" s="598"/>
      <c r="L304" s="334"/>
      <c r="M304" s="334"/>
      <c r="N304" s="334"/>
      <c r="O304" s="334"/>
      <c r="P304" s="334"/>
      <c r="Q304" s="334"/>
      <c r="R304" s="334"/>
      <c r="S304" s="334"/>
      <c r="T304" s="334"/>
      <c r="U304" s="334"/>
      <c r="V304" s="334"/>
      <c r="W304" s="334"/>
      <c r="X304" s="334"/>
      <c r="Y304" s="334"/>
      <c r="Z304" s="334"/>
      <c r="AA304" s="334"/>
      <c r="AB304" s="334"/>
      <c r="AC304" s="334"/>
      <c r="AD304" s="334"/>
      <c r="AE304" s="334"/>
      <c r="AF304" s="334"/>
      <c r="AG304" s="334"/>
      <c r="AH304" s="334"/>
      <c r="AI304" s="334"/>
      <c r="AJ304" s="334"/>
      <c r="AK304" s="334"/>
      <c r="AL304" s="334"/>
      <c r="AM304" s="334"/>
      <c r="AN304" s="334"/>
      <c r="AO304" s="334"/>
      <c r="AP304" s="334"/>
      <c r="AQ304" s="334"/>
      <c r="AR304" s="334"/>
      <c r="AS304" s="334"/>
      <c r="AT304" s="334"/>
      <c r="AU304" s="334"/>
    </row>
    <row r="305" spans="1:47" s="34" customFormat="1" ht="21" customHeight="1">
      <c r="A305" s="186"/>
      <c r="B305" s="87"/>
      <c r="C305" s="85" t="s">
        <v>479</v>
      </c>
      <c r="D305" s="645">
        <v>500</v>
      </c>
      <c r="E305" s="645"/>
      <c r="F305" s="645"/>
      <c r="G305" s="645"/>
      <c r="H305" s="604"/>
      <c r="I305" s="334"/>
      <c r="J305" s="334"/>
      <c r="K305" s="598"/>
      <c r="L305" s="334"/>
      <c r="M305" s="334"/>
      <c r="N305" s="334"/>
      <c r="O305" s="334"/>
      <c r="P305" s="334"/>
      <c r="Q305" s="334"/>
      <c r="R305" s="334"/>
      <c r="S305" s="334"/>
      <c r="T305" s="334"/>
      <c r="U305" s="334"/>
      <c r="V305" s="334"/>
      <c r="W305" s="334"/>
      <c r="X305" s="334"/>
      <c r="Y305" s="334"/>
      <c r="Z305" s="334"/>
      <c r="AA305" s="334"/>
      <c r="AB305" s="334"/>
      <c r="AC305" s="334"/>
      <c r="AD305" s="334"/>
      <c r="AE305" s="334"/>
      <c r="AF305" s="334"/>
      <c r="AG305" s="334"/>
      <c r="AH305" s="334"/>
      <c r="AI305" s="334"/>
      <c r="AJ305" s="334"/>
      <c r="AK305" s="334"/>
      <c r="AL305" s="334"/>
      <c r="AM305" s="334"/>
      <c r="AN305" s="334"/>
      <c r="AO305" s="334"/>
      <c r="AP305" s="334"/>
      <c r="AQ305" s="334"/>
      <c r="AR305" s="334"/>
      <c r="AS305" s="334"/>
      <c r="AT305" s="334"/>
      <c r="AU305" s="334"/>
    </row>
    <row r="306" spans="1:47" s="34" customFormat="1" ht="21" customHeight="1">
      <c r="A306" s="186"/>
      <c r="B306" s="87"/>
      <c r="C306" s="85" t="s">
        <v>80</v>
      </c>
      <c r="D306" s="645">
        <v>6000</v>
      </c>
      <c r="E306" s="645"/>
      <c r="F306" s="645"/>
      <c r="G306" s="645"/>
      <c r="H306" s="604"/>
      <c r="I306" s="334"/>
      <c r="J306" s="334"/>
      <c r="K306" s="598"/>
      <c r="L306" s="334"/>
      <c r="M306" s="334"/>
      <c r="N306" s="334"/>
      <c r="O306" s="334"/>
      <c r="P306" s="334"/>
      <c r="Q306" s="334"/>
      <c r="R306" s="334"/>
      <c r="S306" s="334"/>
      <c r="T306" s="334"/>
      <c r="U306" s="334"/>
      <c r="V306" s="334"/>
      <c r="W306" s="334"/>
      <c r="X306" s="334"/>
      <c r="Y306" s="334"/>
      <c r="Z306" s="334"/>
      <c r="AA306" s="334"/>
      <c r="AB306" s="334"/>
      <c r="AC306" s="334"/>
      <c r="AD306" s="334"/>
      <c r="AE306" s="334"/>
      <c r="AF306" s="334"/>
      <c r="AG306" s="334"/>
      <c r="AH306" s="334"/>
      <c r="AI306" s="334"/>
      <c r="AJ306" s="334"/>
      <c r="AK306" s="334"/>
      <c r="AL306" s="334"/>
      <c r="AM306" s="334"/>
      <c r="AN306" s="334"/>
      <c r="AO306" s="334"/>
      <c r="AP306" s="334"/>
      <c r="AQ306" s="334"/>
      <c r="AR306" s="334"/>
      <c r="AS306" s="334"/>
      <c r="AT306" s="334"/>
      <c r="AU306" s="334"/>
    </row>
    <row r="307" spans="1:47" s="34" customFormat="1" ht="21" customHeight="1">
      <c r="A307" s="186"/>
      <c r="B307" s="87"/>
      <c r="C307" s="85" t="s">
        <v>81</v>
      </c>
      <c r="D307" s="645">
        <v>2800</v>
      </c>
      <c r="E307" s="645"/>
      <c r="F307" s="645"/>
      <c r="G307" s="645"/>
      <c r="H307" s="604"/>
      <c r="I307" s="334"/>
      <c r="J307" s="334"/>
      <c r="K307" s="598"/>
      <c r="L307" s="334"/>
      <c r="M307" s="334"/>
      <c r="N307" s="334"/>
      <c r="O307" s="334"/>
      <c r="P307" s="334"/>
      <c r="Q307" s="334"/>
      <c r="R307" s="334"/>
      <c r="S307" s="334"/>
      <c r="T307" s="334"/>
      <c r="U307" s="334"/>
      <c r="V307" s="334"/>
      <c r="W307" s="334"/>
      <c r="X307" s="334"/>
      <c r="Y307" s="334"/>
      <c r="Z307" s="334"/>
      <c r="AA307" s="334"/>
      <c r="AB307" s="334"/>
      <c r="AC307" s="334"/>
      <c r="AD307" s="334"/>
      <c r="AE307" s="334"/>
      <c r="AF307" s="334"/>
      <c r="AG307" s="334"/>
      <c r="AH307" s="334"/>
      <c r="AI307" s="334"/>
      <c r="AJ307" s="334"/>
      <c r="AK307" s="334"/>
      <c r="AL307" s="334"/>
      <c r="AM307" s="334"/>
      <c r="AN307" s="334"/>
      <c r="AO307" s="334"/>
      <c r="AP307" s="334"/>
      <c r="AQ307" s="334"/>
      <c r="AR307" s="334"/>
      <c r="AS307" s="334"/>
      <c r="AT307" s="334"/>
      <c r="AU307" s="334"/>
    </row>
    <row r="308" spans="1:47" s="34" customFormat="1" ht="21" customHeight="1">
      <c r="A308" s="186"/>
      <c r="B308" s="87"/>
      <c r="C308" s="85" t="s">
        <v>490</v>
      </c>
      <c r="D308" s="645">
        <v>84</v>
      </c>
      <c r="E308" s="645"/>
      <c r="F308" s="645"/>
      <c r="G308" s="645"/>
      <c r="H308" s="604"/>
      <c r="I308" s="334"/>
      <c r="J308" s="334"/>
      <c r="K308" s="598"/>
      <c r="L308" s="334"/>
      <c r="M308" s="334"/>
      <c r="N308" s="334"/>
      <c r="O308" s="334"/>
      <c r="P308" s="334"/>
      <c r="Q308" s="334"/>
      <c r="R308" s="334"/>
      <c r="S308" s="334"/>
      <c r="T308" s="334"/>
      <c r="U308" s="334"/>
      <c r="V308" s="334"/>
      <c r="W308" s="334"/>
      <c r="X308" s="334"/>
      <c r="Y308" s="334"/>
      <c r="Z308" s="334"/>
      <c r="AA308" s="334"/>
      <c r="AB308" s="334"/>
      <c r="AC308" s="334"/>
      <c r="AD308" s="334"/>
      <c r="AE308" s="334"/>
      <c r="AF308" s="334"/>
      <c r="AG308" s="334"/>
      <c r="AH308" s="334"/>
      <c r="AI308" s="334"/>
      <c r="AJ308" s="334"/>
      <c r="AK308" s="334"/>
      <c r="AL308" s="334"/>
      <c r="AM308" s="334"/>
      <c r="AN308" s="334"/>
      <c r="AO308" s="334"/>
      <c r="AP308" s="334"/>
      <c r="AQ308" s="334"/>
      <c r="AR308" s="334"/>
      <c r="AS308" s="334"/>
      <c r="AT308" s="334"/>
      <c r="AU308" s="334"/>
    </row>
    <row r="309" spans="1:47" s="34" customFormat="1" ht="21" customHeight="1">
      <c r="A309" s="186"/>
      <c r="B309" s="87"/>
      <c r="C309" s="85" t="s">
        <v>467</v>
      </c>
      <c r="D309" s="645">
        <v>7500</v>
      </c>
      <c r="E309" s="645"/>
      <c r="F309" s="645"/>
      <c r="G309" s="645"/>
      <c r="H309" s="604"/>
      <c r="I309" s="334"/>
      <c r="J309" s="334"/>
      <c r="K309" s="598"/>
      <c r="L309" s="334"/>
      <c r="M309" s="334"/>
      <c r="N309" s="334"/>
      <c r="O309" s="334"/>
      <c r="P309" s="334"/>
      <c r="Q309" s="334"/>
      <c r="R309" s="334"/>
      <c r="S309" s="334"/>
      <c r="T309" s="334"/>
      <c r="U309" s="334"/>
      <c r="V309" s="334"/>
      <c r="W309" s="334"/>
      <c r="X309" s="334"/>
      <c r="Y309" s="334"/>
      <c r="Z309" s="334"/>
      <c r="AA309" s="334"/>
      <c r="AB309" s="334"/>
      <c r="AC309" s="334"/>
      <c r="AD309" s="334"/>
      <c r="AE309" s="334"/>
      <c r="AF309" s="334"/>
      <c r="AG309" s="334"/>
      <c r="AH309" s="334"/>
      <c r="AI309" s="334"/>
      <c r="AJ309" s="334"/>
      <c r="AK309" s="334"/>
      <c r="AL309" s="334"/>
      <c r="AM309" s="334"/>
      <c r="AN309" s="334"/>
      <c r="AO309" s="334"/>
      <c r="AP309" s="334"/>
      <c r="AQ309" s="334"/>
      <c r="AR309" s="334"/>
      <c r="AS309" s="334"/>
      <c r="AT309" s="334"/>
      <c r="AU309" s="334"/>
    </row>
    <row r="310" spans="1:47" s="34" customFormat="1" ht="21" customHeight="1">
      <c r="A310" s="186"/>
      <c r="B310" s="87"/>
      <c r="C310" s="85" t="s">
        <v>446</v>
      </c>
      <c r="D310" s="645">
        <v>2100</v>
      </c>
      <c r="E310" s="645"/>
      <c r="F310" s="645"/>
      <c r="G310" s="645"/>
      <c r="H310" s="604"/>
      <c r="I310" s="334"/>
      <c r="J310" s="334"/>
      <c r="K310" s="598"/>
      <c r="L310" s="334"/>
      <c r="M310" s="334"/>
      <c r="N310" s="334"/>
      <c r="O310" s="334"/>
      <c r="P310" s="334"/>
      <c r="Q310" s="334"/>
      <c r="R310" s="334"/>
      <c r="S310" s="334"/>
      <c r="T310" s="334"/>
      <c r="U310" s="334"/>
      <c r="V310" s="334"/>
      <c r="W310" s="334"/>
      <c r="X310" s="334"/>
      <c r="Y310" s="334"/>
      <c r="Z310" s="334"/>
      <c r="AA310" s="334"/>
      <c r="AB310" s="334"/>
      <c r="AC310" s="334"/>
      <c r="AD310" s="334"/>
      <c r="AE310" s="334"/>
      <c r="AF310" s="334"/>
      <c r="AG310" s="334"/>
      <c r="AH310" s="334"/>
      <c r="AI310" s="334"/>
      <c r="AJ310" s="334"/>
      <c r="AK310" s="334"/>
      <c r="AL310" s="334"/>
      <c r="AM310" s="334"/>
      <c r="AN310" s="334"/>
      <c r="AO310" s="334"/>
      <c r="AP310" s="334"/>
      <c r="AQ310" s="334"/>
      <c r="AR310" s="334"/>
      <c r="AS310" s="334"/>
      <c r="AT310" s="334"/>
      <c r="AU310" s="334"/>
    </row>
    <row r="311" spans="1:47" s="34" customFormat="1" ht="21" customHeight="1">
      <c r="A311" s="186"/>
      <c r="B311" s="87"/>
      <c r="C311" s="85" t="s">
        <v>469</v>
      </c>
      <c r="D311" s="645">
        <v>190</v>
      </c>
      <c r="E311" s="645"/>
      <c r="F311" s="645"/>
      <c r="G311" s="645"/>
      <c r="H311" s="604"/>
      <c r="I311" s="334"/>
      <c r="J311" s="334"/>
      <c r="K311" s="598"/>
      <c r="L311" s="334"/>
      <c r="M311" s="334"/>
      <c r="N311" s="334"/>
      <c r="O311" s="334"/>
      <c r="P311" s="334"/>
      <c r="Q311" s="334"/>
      <c r="R311" s="334"/>
      <c r="S311" s="334"/>
      <c r="T311" s="334"/>
      <c r="U311" s="334"/>
      <c r="V311" s="334"/>
      <c r="W311" s="334"/>
      <c r="X311" s="334"/>
      <c r="Y311" s="334"/>
      <c r="Z311" s="334"/>
      <c r="AA311" s="334"/>
      <c r="AB311" s="334"/>
      <c r="AC311" s="334"/>
      <c r="AD311" s="334"/>
      <c r="AE311" s="334"/>
      <c r="AF311" s="334"/>
      <c r="AG311" s="334"/>
      <c r="AH311" s="334"/>
      <c r="AI311" s="334"/>
      <c r="AJ311" s="334"/>
      <c r="AK311" s="334"/>
      <c r="AL311" s="334"/>
      <c r="AM311" s="334"/>
      <c r="AN311" s="334"/>
      <c r="AO311" s="334"/>
      <c r="AP311" s="334"/>
      <c r="AQ311" s="334"/>
      <c r="AR311" s="334"/>
      <c r="AS311" s="334"/>
      <c r="AT311" s="334"/>
      <c r="AU311" s="334"/>
    </row>
    <row r="312" spans="1:47" s="34" customFormat="1" ht="21" customHeight="1">
      <c r="A312" s="186"/>
      <c r="B312" s="87"/>
      <c r="C312" s="85" t="s">
        <v>476</v>
      </c>
      <c r="D312" s="645">
        <v>130</v>
      </c>
      <c r="E312" s="645"/>
      <c r="F312" s="645"/>
      <c r="G312" s="645"/>
      <c r="H312" s="604"/>
      <c r="I312" s="334"/>
      <c r="J312" s="334"/>
      <c r="K312" s="598"/>
      <c r="L312" s="334"/>
      <c r="M312" s="334"/>
      <c r="N312" s="334"/>
      <c r="O312" s="334"/>
      <c r="P312" s="334"/>
      <c r="Q312" s="334"/>
      <c r="R312" s="334"/>
      <c r="S312" s="334"/>
      <c r="T312" s="334"/>
      <c r="U312" s="334"/>
      <c r="V312" s="334"/>
      <c r="W312" s="334"/>
      <c r="X312" s="334"/>
      <c r="Y312" s="334"/>
      <c r="Z312" s="334"/>
      <c r="AA312" s="334"/>
      <c r="AB312" s="334"/>
      <c r="AC312" s="334"/>
      <c r="AD312" s="334"/>
      <c r="AE312" s="334"/>
      <c r="AF312" s="334"/>
      <c r="AG312" s="334"/>
      <c r="AH312" s="334"/>
      <c r="AI312" s="334"/>
      <c r="AJ312" s="334"/>
      <c r="AK312" s="334"/>
      <c r="AL312" s="334"/>
      <c r="AM312" s="334"/>
      <c r="AN312" s="334"/>
      <c r="AO312" s="334"/>
      <c r="AP312" s="334"/>
      <c r="AQ312" s="334"/>
      <c r="AR312" s="334"/>
      <c r="AS312" s="334"/>
      <c r="AT312" s="334"/>
      <c r="AU312" s="334"/>
    </row>
    <row r="313" spans="1:47" s="34" customFormat="1" ht="21" customHeight="1">
      <c r="A313" s="186"/>
      <c r="B313" s="162" t="s">
        <v>498</v>
      </c>
      <c r="C313" s="85"/>
      <c r="D313" s="645">
        <f>SUM(D314:D315)</f>
        <v>181.55</v>
      </c>
      <c r="E313" s="645"/>
      <c r="F313" s="645">
        <f>SUM(F314:F315)</f>
        <v>1341.2</v>
      </c>
      <c r="G313" s="645"/>
      <c r="H313" s="604"/>
      <c r="I313" s="334"/>
      <c r="J313" s="334"/>
      <c r="K313" s="598"/>
      <c r="L313" s="334"/>
      <c r="M313" s="334"/>
      <c r="N313" s="334"/>
      <c r="O313" s="334"/>
      <c r="P313" s="334"/>
      <c r="Q313" s="334"/>
      <c r="R313" s="334"/>
      <c r="S313" s="334"/>
      <c r="T313" s="334"/>
      <c r="U313" s="334"/>
      <c r="V313" s="334"/>
      <c r="W313" s="334"/>
      <c r="X313" s="334"/>
      <c r="Y313" s="334"/>
      <c r="Z313" s="334"/>
      <c r="AA313" s="334"/>
      <c r="AB313" s="334"/>
      <c r="AC313" s="334"/>
      <c r="AD313" s="334"/>
      <c r="AE313" s="334"/>
      <c r="AF313" s="334"/>
      <c r="AG313" s="334"/>
      <c r="AH313" s="334"/>
      <c r="AI313" s="334"/>
      <c r="AJ313" s="334"/>
      <c r="AK313" s="334"/>
      <c r="AL313" s="334"/>
      <c r="AM313" s="334"/>
      <c r="AN313" s="334"/>
      <c r="AO313" s="334"/>
      <c r="AP313" s="334"/>
      <c r="AQ313" s="334"/>
      <c r="AR313" s="334"/>
      <c r="AS313" s="334"/>
      <c r="AT313" s="334"/>
      <c r="AU313" s="334"/>
    </row>
    <row r="314" spans="1:47" s="34" customFormat="1" ht="21" customHeight="1">
      <c r="A314" s="186"/>
      <c r="B314" s="87"/>
      <c r="C314" s="85" t="s">
        <v>75</v>
      </c>
      <c r="D314" s="645">
        <v>181.55</v>
      </c>
      <c r="E314" s="645"/>
      <c r="F314" s="645"/>
      <c r="G314" s="645"/>
      <c r="H314" s="604"/>
      <c r="I314" s="334"/>
      <c r="J314" s="334"/>
      <c r="K314" s="598"/>
      <c r="L314" s="334"/>
      <c r="M314" s="334"/>
      <c r="N314" s="334"/>
      <c r="O314" s="334"/>
      <c r="P314" s="334"/>
      <c r="Q314" s="334"/>
      <c r="R314" s="334"/>
      <c r="S314" s="334"/>
      <c r="T314" s="334"/>
      <c r="U314" s="334"/>
      <c r="V314" s="334"/>
      <c r="W314" s="334"/>
      <c r="X314" s="334"/>
      <c r="Y314" s="334"/>
      <c r="Z314" s="334"/>
      <c r="AA314" s="334"/>
      <c r="AB314" s="334"/>
      <c r="AC314" s="334"/>
      <c r="AD314" s="334"/>
      <c r="AE314" s="334"/>
      <c r="AF314" s="334"/>
      <c r="AG314" s="334"/>
      <c r="AH314" s="334"/>
      <c r="AI314" s="334"/>
      <c r="AJ314" s="334"/>
      <c r="AK314" s="334"/>
      <c r="AL314" s="334"/>
      <c r="AM314" s="334"/>
      <c r="AN314" s="334"/>
      <c r="AO314" s="334"/>
      <c r="AP314" s="334"/>
      <c r="AQ314" s="334"/>
      <c r="AR314" s="334"/>
      <c r="AS314" s="334"/>
      <c r="AT314" s="334"/>
      <c r="AU314" s="334"/>
    </row>
    <row r="315" spans="1:47" s="34" customFormat="1" ht="21" customHeight="1">
      <c r="A315" s="186"/>
      <c r="B315" s="87"/>
      <c r="C315" s="85" t="s">
        <v>490</v>
      </c>
      <c r="D315" s="645"/>
      <c r="E315" s="645"/>
      <c r="F315" s="645">
        <v>1341.2</v>
      </c>
      <c r="G315" s="645"/>
      <c r="H315" s="604"/>
      <c r="I315" s="334"/>
      <c r="J315" s="334"/>
      <c r="K315" s="598"/>
      <c r="L315" s="334"/>
      <c r="M315" s="334"/>
      <c r="N315" s="334"/>
      <c r="O315" s="334"/>
      <c r="P315" s="334"/>
      <c r="Q315" s="334"/>
      <c r="R315" s="334"/>
      <c r="S315" s="334"/>
      <c r="T315" s="334"/>
      <c r="U315" s="334"/>
      <c r="V315" s="334"/>
      <c r="W315" s="334"/>
      <c r="X315" s="334"/>
      <c r="Y315" s="334"/>
      <c r="Z315" s="334"/>
      <c r="AA315" s="334"/>
      <c r="AB315" s="334"/>
      <c r="AC315" s="334"/>
      <c r="AD315" s="334"/>
      <c r="AE315" s="334"/>
      <c r="AF315" s="334"/>
      <c r="AG315" s="334"/>
      <c r="AH315" s="334"/>
      <c r="AI315" s="334"/>
      <c r="AJ315" s="334"/>
      <c r="AK315" s="334"/>
      <c r="AL315" s="334"/>
      <c r="AM315" s="334"/>
      <c r="AN315" s="334"/>
      <c r="AO315" s="334"/>
      <c r="AP315" s="334"/>
      <c r="AQ315" s="334"/>
      <c r="AR315" s="334"/>
      <c r="AS315" s="334"/>
      <c r="AT315" s="334"/>
      <c r="AU315" s="334"/>
    </row>
    <row r="316" spans="1:47" s="34" customFormat="1" ht="21" customHeight="1">
      <c r="A316" s="186"/>
      <c r="B316" s="162" t="s">
        <v>391</v>
      </c>
      <c r="C316" s="85"/>
      <c r="D316" s="645">
        <f>SUM(D317:D319)</f>
        <v>2019</v>
      </c>
      <c r="E316" s="645"/>
      <c r="F316" s="645">
        <f>SUM(F317:F319)</f>
        <v>2019</v>
      </c>
      <c r="G316" s="645"/>
      <c r="H316" s="604"/>
      <c r="I316" s="334"/>
      <c r="J316" s="334"/>
      <c r="K316" s="598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34"/>
      <c r="X316" s="334"/>
      <c r="Y316" s="334"/>
      <c r="Z316" s="334"/>
      <c r="AA316" s="334"/>
      <c r="AB316" s="334"/>
      <c r="AC316" s="334"/>
      <c r="AD316" s="334"/>
      <c r="AE316" s="334"/>
      <c r="AF316" s="334"/>
      <c r="AG316" s="334"/>
      <c r="AH316" s="334"/>
      <c r="AI316" s="334"/>
      <c r="AJ316" s="334"/>
      <c r="AK316" s="334"/>
      <c r="AL316" s="334"/>
      <c r="AM316" s="334"/>
      <c r="AN316" s="334"/>
      <c r="AO316" s="334"/>
      <c r="AP316" s="334"/>
      <c r="AQ316" s="334"/>
      <c r="AR316" s="334"/>
      <c r="AS316" s="334"/>
      <c r="AT316" s="334"/>
      <c r="AU316" s="334"/>
    </row>
    <row r="317" spans="1:47" s="34" customFormat="1" ht="21" customHeight="1">
      <c r="A317" s="186"/>
      <c r="B317" s="87"/>
      <c r="C317" s="85" t="s">
        <v>446</v>
      </c>
      <c r="D317" s="645">
        <v>2019</v>
      </c>
      <c r="E317" s="645"/>
      <c r="F317" s="645"/>
      <c r="G317" s="645"/>
      <c r="H317" s="604"/>
      <c r="I317" s="334"/>
      <c r="J317" s="334"/>
      <c r="K317" s="598"/>
      <c r="L317" s="334"/>
      <c r="M317" s="334"/>
      <c r="N317" s="334"/>
      <c r="O317" s="334"/>
      <c r="P317" s="334"/>
      <c r="Q317" s="334"/>
      <c r="R317" s="334"/>
      <c r="S317" s="334"/>
      <c r="T317" s="334"/>
      <c r="U317" s="334"/>
      <c r="V317" s="334"/>
      <c r="W317" s="334"/>
      <c r="X317" s="334"/>
      <c r="Y317" s="334"/>
      <c r="Z317" s="334"/>
      <c r="AA317" s="334"/>
      <c r="AB317" s="334"/>
      <c r="AC317" s="334"/>
      <c r="AD317" s="334"/>
      <c r="AE317" s="334"/>
      <c r="AF317" s="334"/>
      <c r="AG317" s="334"/>
      <c r="AH317" s="334"/>
      <c r="AI317" s="334"/>
      <c r="AJ317" s="334"/>
      <c r="AK317" s="334"/>
      <c r="AL317" s="334"/>
      <c r="AM317" s="334"/>
      <c r="AN317" s="334"/>
      <c r="AO317" s="334"/>
      <c r="AP317" s="334"/>
      <c r="AQ317" s="334"/>
      <c r="AR317" s="334"/>
      <c r="AS317" s="334"/>
      <c r="AT317" s="334"/>
      <c r="AU317" s="334"/>
    </row>
    <row r="318" spans="1:47" s="34" customFormat="1" ht="21" customHeight="1">
      <c r="A318" s="186"/>
      <c r="B318" s="87"/>
      <c r="C318" s="85" t="s">
        <v>392</v>
      </c>
      <c r="D318" s="645"/>
      <c r="E318" s="645"/>
      <c r="F318" s="645">
        <v>700</v>
      </c>
      <c r="G318" s="645"/>
      <c r="H318" s="604"/>
      <c r="I318" s="334"/>
      <c r="J318" s="334"/>
      <c r="K318" s="598"/>
      <c r="L318" s="334"/>
      <c r="M318" s="334"/>
      <c r="N318" s="334"/>
      <c r="O318" s="334"/>
      <c r="P318" s="334"/>
      <c r="Q318" s="334"/>
      <c r="R318" s="334"/>
      <c r="S318" s="334"/>
      <c r="T318" s="334"/>
      <c r="U318" s="334"/>
      <c r="V318" s="334"/>
      <c r="W318" s="334"/>
      <c r="X318" s="334"/>
      <c r="Y318" s="334"/>
      <c r="Z318" s="334"/>
      <c r="AA318" s="334"/>
      <c r="AB318" s="334"/>
      <c r="AC318" s="334"/>
      <c r="AD318" s="334"/>
      <c r="AE318" s="334"/>
      <c r="AF318" s="334"/>
      <c r="AG318" s="334"/>
      <c r="AH318" s="334"/>
      <c r="AI318" s="334"/>
      <c r="AJ318" s="334"/>
      <c r="AK318" s="334"/>
      <c r="AL318" s="334"/>
      <c r="AM318" s="334"/>
      <c r="AN318" s="334"/>
      <c r="AO318" s="334"/>
      <c r="AP318" s="334"/>
      <c r="AQ318" s="334"/>
      <c r="AR318" s="334"/>
      <c r="AS318" s="334"/>
      <c r="AT318" s="334"/>
      <c r="AU318" s="334"/>
    </row>
    <row r="319" spans="1:47" s="34" customFormat="1" ht="21" customHeight="1">
      <c r="A319" s="186"/>
      <c r="B319" s="87"/>
      <c r="C319" s="84" t="s">
        <v>397</v>
      </c>
      <c r="D319" s="647"/>
      <c r="E319" s="647"/>
      <c r="F319" s="647">
        <v>1319</v>
      </c>
      <c r="G319" s="645"/>
      <c r="H319" s="604"/>
      <c r="I319" s="334"/>
      <c r="J319" s="334"/>
      <c r="K319" s="598"/>
      <c r="L319" s="334"/>
      <c r="M319" s="334"/>
      <c r="N319" s="334"/>
      <c r="O319" s="334"/>
      <c r="P319" s="334"/>
      <c r="Q319" s="334"/>
      <c r="R319" s="334"/>
      <c r="S319" s="334"/>
      <c r="T319" s="334"/>
      <c r="U319" s="334"/>
      <c r="V319" s="334"/>
      <c r="W319" s="334"/>
      <c r="X319" s="334"/>
      <c r="Y319" s="334"/>
      <c r="Z319" s="334"/>
      <c r="AA319" s="334"/>
      <c r="AB319" s="334"/>
      <c r="AC319" s="334"/>
      <c r="AD319" s="334"/>
      <c r="AE319" s="334"/>
      <c r="AF319" s="334"/>
      <c r="AG319" s="334"/>
      <c r="AH319" s="334"/>
      <c r="AI319" s="334"/>
      <c r="AJ319" s="334"/>
      <c r="AK319" s="334"/>
      <c r="AL319" s="334"/>
      <c r="AM319" s="334"/>
      <c r="AN319" s="334"/>
      <c r="AO319" s="334"/>
      <c r="AP319" s="334"/>
      <c r="AQ319" s="334"/>
      <c r="AR319" s="334"/>
      <c r="AS319" s="334"/>
      <c r="AT319" s="334"/>
      <c r="AU319" s="334"/>
    </row>
    <row r="320" spans="1:47" s="34" customFormat="1" ht="21" customHeight="1">
      <c r="A320" s="79" t="s">
        <v>465</v>
      </c>
      <c r="B320" s="79" t="s">
        <v>473</v>
      </c>
      <c r="C320" s="82"/>
      <c r="D320" s="603">
        <f>SUM(D321:D323)</f>
        <v>0</v>
      </c>
      <c r="E320" s="603"/>
      <c r="F320" s="603">
        <f>SUM(F321:F323)</f>
        <v>30000</v>
      </c>
      <c r="G320" s="645"/>
      <c r="H320" s="604"/>
      <c r="I320" s="334"/>
      <c r="J320" s="334"/>
      <c r="K320" s="598"/>
      <c r="L320" s="334"/>
      <c r="M320" s="334"/>
      <c r="N320" s="334"/>
      <c r="O320" s="334"/>
      <c r="P320" s="334"/>
      <c r="Q320" s="334"/>
      <c r="R320" s="334"/>
      <c r="S320" s="334"/>
      <c r="T320" s="334"/>
      <c r="U320" s="334"/>
      <c r="V320" s="334"/>
      <c r="W320" s="334"/>
      <c r="X320" s="334"/>
      <c r="Y320" s="334"/>
      <c r="Z320" s="334"/>
      <c r="AA320" s="334"/>
      <c r="AB320" s="334"/>
      <c r="AC320" s="334"/>
      <c r="AD320" s="334"/>
      <c r="AE320" s="334"/>
      <c r="AF320" s="334"/>
      <c r="AG320" s="334"/>
      <c r="AH320" s="334"/>
      <c r="AI320" s="334"/>
      <c r="AJ320" s="334"/>
      <c r="AK320" s="334"/>
      <c r="AL320" s="334"/>
      <c r="AM320" s="334"/>
      <c r="AN320" s="334"/>
      <c r="AO320" s="334"/>
      <c r="AP320" s="334"/>
      <c r="AQ320" s="334"/>
      <c r="AR320" s="334"/>
      <c r="AS320" s="334"/>
      <c r="AT320" s="334"/>
      <c r="AU320" s="334"/>
    </row>
    <row r="321" spans="1:47" s="34" customFormat="1" ht="21" customHeight="1">
      <c r="A321" s="186"/>
      <c r="B321" s="83"/>
      <c r="C321" s="85" t="s">
        <v>474</v>
      </c>
      <c r="D321" s="645"/>
      <c r="E321" s="645"/>
      <c r="F321" s="645">
        <v>20000</v>
      </c>
      <c r="G321" s="645"/>
      <c r="H321" s="604"/>
      <c r="I321" s="334"/>
      <c r="J321" s="334"/>
      <c r="K321" s="598"/>
      <c r="L321" s="334"/>
      <c r="M321" s="334"/>
      <c r="N321" s="334"/>
      <c r="O321" s="334"/>
      <c r="P321" s="334"/>
      <c r="Q321" s="334"/>
      <c r="R321" s="334"/>
      <c r="S321" s="334"/>
      <c r="T321" s="334"/>
      <c r="U321" s="334"/>
      <c r="V321" s="334"/>
      <c r="W321" s="334"/>
      <c r="X321" s="334"/>
      <c r="Y321" s="334"/>
      <c r="Z321" s="334"/>
      <c r="AA321" s="334"/>
      <c r="AB321" s="334"/>
      <c r="AC321" s="334"/>
      <c r="AD321" s="334"/>
      <c r="AE321" s="334"/>
      <c r="AF321" s="334"/>
      <c r="AG321" s="334"/>
      <c r="AH321" s="334"/>
      <c r="AI321" s="334"/>
      <c r="AJ321" s="334"/>
      <c r="AK321" s="334"/>
      <c r="AL321" s="334"/>
      <c r="AM321" s="334"/>
      <c r="AN321" s="334"/>
      <c r="AO321" s="334"/>
      <c r="AP321" s="334"/>
      <c r="AQ321" s="334"/>
      <c r="AR321" s="334"/>
      <c r="AS321" s="334"/>
      <c r="AT321" s="334"/>
      <c r="AU321" s="334"/>
    </row>
    <row r="322" spans="1:47" s="34" customFormat="1" ht="19.5" customHeight="1">
      <c r="A322" s="186"/>
      <c r="B322" s="87"/>
      <c r="C322" s="85" t="s">
        <v>467</v>
      </c>
      <c r="D322" s="645"/>
      <c r="E322" s="645"/>
      <c r="F322" s="645">
        <v>5000</v>
      </c>
      <c r="G322" s="645"/>
      <c r="H322" s="604"/>
      <c r="I322" s="334"/>
      <c r="J322" s="334"/>
      <c r="K322" s="598"/>
      <c r="L322" s="334"/>
      <c r="M322" s="334"/>
      <c r="N322" s="334"/>
      <c r="O322" s="334"/>
      <c r="P322" s="334"/>
      <c r="Q322" s="334"/>
      <c r="R322" s="334"/>
      <c r="S322" s="334"/>
      <c r="T322" s="334"/>
      <c r="U322" s="334"/>
      <c r="V322" s="334"/>
      <c r="W322" s="334"/>
      <c r="X322" s="334"/>
      <c r="Y322" s="334"/>
      <c r="Z322" s="334"/>
      <c r="AA322" s="334"/>
      <c r="AB322" s="334"/>
      <c r="AC322" s="334"/>
      <c r="AD322" s="334"/>
      <c r="AE322" s="334"/>
      <c r="AF322" s="334"/>
      <c r="AG322" s="334"/>
      <c r="AH322" s="334"/>
      <c r="AI322" s="334"/>
      <c r="AJ322" s="334"/>
      <c r="AK322" s="334"/>
      <c r="AL322" s="334"/>
      <c r="AM322" s="334"/>
      <c r="AN322" s="334"/>
      <c r="AO322" s="334"/>
      <c r="AP322" s="334"/>
      <c r="AQ322" s="334"/>
      <c r="AR322" s="334"/>
      <c r="AS322" s="334"/>
      <c r="AT322" s="334"/>
      <c r="AU322" s="334"/>
    </row>
    <row r="323" spans="1:47" s="34" customFormat="1" ht="21" customHeight="1">
      <c r="A323" s="639"/>
      <c r="B323" s="96"/>
      <c r="C323" s="85" t="s">
        <v>446</v>
      </c>
      <c r="D323" s="645"/>
      <c r="E323" s="645"/>
      <c r="F323" s="645">
        <v>5000</v>
      </c>
      <c r="G323" s="645"/>
      <c r="H323" s="604"/>
      <c r="I323" s="334"/>
      <c r="J323" s="334"/>
      <c r="K323" s="598"/>
      <c r="L323" s="334"/>
      <c r="M323" s="334"/>
      <c r="N323" s="334"/>
      <c r="O323" s="334"/>
      <c r="P323" s="334"/>
      <c r="Q323" s="334"/>
      <c r="R323" s="334"/>
      <c r="S323" s="334"/>
      <c r="T323" s="334"/>
      <c r="U323" s="334"/>
      <c r="V323" s="334"/>
      <c r="W323" s="334"/>
      <c r="X323" s="334"/>
      <c r="Y323" s="334"/>
      <c r="Z323" s="334"/>
      <c r="AA323" s="334"/>
      <c r="AB323" s="334"/>
      <c r="AC323" s="334"/>
      <c r="AD323" s="334"/>
      <c r="AE323" s="334"/>
      <c r="AF323" s="334"/>
      <c r="AG323" s="334"/>
      <c r="AH323" s="334"/>
      <c r="AI323" s="334"/>
      <c r="AJ323" s="334"/>
      <c r="AK323" s="334"/>
      <c r="AL323" s="334"/>
      <c r="AM323" s="334"/>
      <c r="AN323" s="334"/>
      <c r="AO323" s="334"/>
      <c r="AP323" s="334"/>
      <c r="AQ323" s="334"/>
      <c r="AR323" s="334"/>
      <c r="AS323" s="334"/>
      <c r="AT323" s="334"/>
      <c r="AU323" s="334"/>
    </row>
    <row r="324" spans="1:47" s="177" customFormat="1" ht="21" customHeight="1">
      <c r="A324" s="191" t="s">
        <v>387</v>
      </c>
      <c r="B324" s="191" t="s">
        <v>389</v>
      </c>
      <c r="C324" s="79" t="s">
        <v>440</v>
      </c>
      <c r="D324" s="603">
        <v>686.62</v>
      </c>
      <c r="E324" s="603"/>
      <c r="F324" s="603">
        <v>870.36</v>
      </c>
      <c r="G324" s="603"/>
      <c r="H324" s="20"/>
      <c r="I324" s="602"/>
      <c r="J324" s="602"/>
      <c r="K324" s="630"/>
      <c r="L324" s="602"/>
      <c r="M324" s="602"/>
      <c r="N324" s="602"/>
      <c r="O324" s="602"/>
      <c r="P324" s="602"/>
      <c r="Q324" s="602"/>
      <c r="R324" s="602"/>
      <c r="S324" s="602"/>
      <c r="T324" s="602"/>
      <c r="U324" s="602"/>
      <c r="V324" s="602"/>
      <c r="W324" s="602"/>
      <c r="X324" s="602"/>
      <c r="Y324" s="602"/>
      <c r="Z324" s="602"/>
      <c r="AA324" s="602"/>
      <c r="AB324" s="602"/>
      <c r="AC324" s="602"/>
      <c r="AD324" s="602"/>
      <c r="AE324" s="602"/>
      <c r="AF324" s="602"/>
      <c r="AG324" s="602"/>
      <c r="AH324" s="602"/>
      <c r="AI324" s="602"/>
      <c r="AJ324" s="602"/>
      <c r="AK324" s="602"/>
      <c r="AL324" s="602"/>
      <c r="AM324" s="602"/>
      <c r="AN324" s="602"/>
      <c r="AO324" s="602"/>
      <c r="AP324" s="602"/>
      <c r="AQ324" s="602"/>
      <c r="AR324" s="602"/>
      <c r="AS324" s="602"/>
      <c r="AT324" s="602"/>
      <c r="AU324" s="602"/>
    </row>
    <row r="325" spans="1:47" s="177" customFormat="1" ht="21" customHeight="1">
      <c r="A325" s="644" t="s">
        <v>381</v>
      </c>
      <c r="B325" s="79"/>
      <c r="C325" s="82"/>
      <c r="D325" s="603">
        <f>D326+D335+D351</f>
        <v>36226</v>
      </c>
      <c r="E325" s="603"/>
      <c r="F325" s="603">
        <f>F326+F335+F351</f>
        <v>70274</v>
      </c>
      <c r="G325" s="603"/>
      <c r="H325" s="20"/>
      <c r="I325" s="602"/>
      <c r="J325" s="602"/>
      <c r="K325" s="630"/>
      <c r="L325" s="602"/>
      <c r="M325" s="602"/>
      <c r="N325" s="602"/>
      <c r="O325" s="602"/>
      <c r="P325" s="602"/>
      <c r="Q325" s="602"/>
      <c r="R325" s="602"/>
      <c r="S325" s="602"/>
      <c r="T325" s="602"/>
      <c r="U325" s="602"/>
      <c r="V325" s="602"/>
      <c r="W325" s="602"/>
      <c r="X325" s="602"/>
      <c r="Y325" s="602"/>
      <c r="Z325" s="602"/>
      <c r="AA325" s="602"/>
      <c r="AB325" s="602"/>
      <c r="AC325" s="602"/>
      <c r="AD325" s="602"/>
      <c r="AE325" s="602"/>
      <c r="AF325" s="602"/>
      <c r="AG325" s="602"/>
      <c r="AH325" s="602"/>
      <c r="AI325" s="602"/>
      <c r="AJ325" s="602"/>
      <c r="AK325" s="602"/>
      <c r="AL325" s="602"/>
      <c r="AM325" s="602"/>
      <c r="AN325" s="602"/>
      <c r="AO325" s="602"/>
      <c r="AP325" s="602"/>
      <c r="AQ325" s="602"/>
      <c r="AR325" s="602"/>
      <c r="AS325" s="602"/>
      <c r="AT325" s="602"/>
      <c r="AU325" s="602"/>
    </row>
    <row r="326" spans="1:47" s="34" customFormat="1" ht="21" customHeight="1">
      <c r="A326" s="83"/>
      <c r="B326" s="84" t="s">
        <v>382</v>
      </c>
      <c r="C326" s="85"/>
      <c r="D326" s="645">
        <f>SUM(D327:D334)</f>
        <v>3898</v>
      </c>
      <c r="E326" s="645"/>
      <c r="F326" s="645">
        <f>SUM(F327:F334)</f>
        <v>26137</v>
      </c>
      <c r="G326" s="645"/>
      <c r="H326" s="604"/>
      <c r="I326" s="334"/>
      <c r="J326" s="334"/>
      <c r="K326" s="598"/>
      <c r="L326" s="334"/>
      <c r="M326" s="334"/>
      <c r="N326" s="334"/>
      <c r="O326" s="334"/>
      <c r="P326" s="334"/>
      <c r="Q326" s="334"/>
      <c r="R326" s="334"/>
      <c r="S326" s="334"/>
      <c r="T326" s="334"/>
      <c r="U326" s="334"/>
      <c r="V326" s="334"/>
      <c r="W326" s="334"/>
      <c r="X326" s="334"/>
      <c r="Y326" s="334"/>
      <c r="Z326" s="334"/>
      <c r="AA326" s="334"/>
      <c r="AB326" s="334"/>
      <c r="AC326" s="334"/>
      <c r="AD326" s="334"/>
      <c r="AE326" s="334"/>
      <c r="AF326" s="334"/>
      <c r="AG326" s="334"/>
      <c r="AH326" s="334"/>
      <c r="AI326" s="334"/>
      <c r="AJ326" s="334"/>
      <c r="AK326" s="334"/>
      <c r="AL326" s="334"/>
      <c r="AM326" s="334"/>
      <c r="AN326" s="334"/>
      <c r="AO326" s="334"/>
      <c r="AP326" s="334"/>
      <c r="AQ326" s="334"/>
      <c r="AR326" s="334"/>
      <c r="AS326" s="334"/>
      <c r="AT326" s="334"/>
      <c r="AU326" s="334"/>
    </row>
    <row r="327" spans="1:47" s="34" customFormat="1" ht="21" customHeight="1">
      <c r="A327" s="186"/>
      <c r="B327" s="83"/>
      <c r="C327" s="85" t="s">
        <v>479</v>
      </c>
      <c r="D327" s="645">
        <v>230</v>
      </c>
      <c r="E327" s="645"/>
      <c r="F327" s="645"/>
      <c r="G327" s="645"/>
      <c r="H327" s="604"/>
      <c r="I327" s="334"/>
      <c r="J327" s="334"/>
      <c r="K327" s="598"/>
      <c r="L327" s="334"/>
      <c r="M327" s="334"/>
      <c r="N327" s="334"/>
      <c r="O327" s="334"/>
      <c r="P327" s="334"/>
      <c r="Q327" s="334"/>
      <c r="R327" s="334"/>
      <c r="S327" s="334"/>
      <c r="T327" s="334"/>
      <c r="U327" s="334"/>
      <c r="V327" s="334"/>
      <c r="W327" s="334"/>
      <c r="X327" s="334"/>
      <c r="Y327" s="334"/>
      <c r="Z327" s="334"/>
      <c r="AA327" s="334"/>
      <c r="AB327" s="334"/>
      <c r="AC327" s="334"/>
      <c r="AD327" s="334"/>
      <c r="AE327" s="334"/>
      <c r="AF327" s="334"/>
      <c r="AG327" s="334"/>
      <c r="AH327" s="334"/>
      <c r="AI327" s="334"/>
      <c r="AJ327" s="334"/>
      <c r="AK327" s="334"/>
      <c r="AL327" s="334"/>
      <c r="AM327" s="334"/>
      <c r="AN327" s="334"/>
      <c r="AO327" s="334"/>
      <c r="AP327" s="334"/>
      <c r="AQ327" s="334"/>
      <c r="AR327" s="334"/>
      <c r="AS327" s="334"/>
      <c r="AT327" s="334"/>
      <c r="AU327" s="334"/>
    </row>
    <row r="328" spans="1:47" s="34" customFormat="1" ht="21" customHeight="1">
      <c r="A328" s="186"/>
      <c r="B328" s="87"/>
      <c r="C328" s="85" t="s">
        <v>80</v>
      </c>
      <c r="D328" s="645"/>
      <c r="E328" s="645"/>
      <c r="F328" s="645">
        <v>26137</v>
      </c>
      <c r="G328" s="645"/>
      <c r="H328" s="604"/>
      <c r="I328" s="334"/>
      <c r="J328" s="334"/>
      <c r="K328" s="598"/>
      <c r="L328" s="334"/>
      <c r="M328" s="334"/>
      <c r="N328" s="334"/>
      <c r="O328" s="334"/>
      <c r="P328" s="334"/>
      <c r="Q328" s="334"/>
      <c r="R328" s="334"/>
      <c r="S328" s="334"/>
      <c r="T328" s="334"/>
      <c r="U328" s="334"/>
      <c r="V328" s="334"/>
      <c r="W328" s="334"/>
      <c r="X328" s="334"/>
      <c r="Y328" s="334"/>
      <c r="Z328" s="334"/>
      <c r="AA328" s="334"/>
      <c r="AB328" s="334"/>
      <c r="AC328" s="334"/>
      <c r="AD328" s="334"/>
      <c r="AE328" s="334"/>
      <c r="AF328" s="334"/>
      <c r="AG328" s="334"/>
      <c r="AH328" s="334"/>
      <c r="AI328" s="334"/>
      <c r="AJ328" s="334"/>
      <c r="AK328" s="334"/>
      <c r="AL328" s="334"/>
      <c r="AM328" s="334"/>
      <c r="AN328" s="334"/>
      <c r="AO328" s="334"/>
      <c r="AP328" s="334"/>
      <c r="AQ328" s="334"/>
      <c r="AR328" s="334"/>
      <c r="AS328" s="334"/>
      <c r="AT328" s="334"/>
      <c r="AU328" s="334"/>
    </row>
    <row r="329" spans="1:47" s="34" customFormat="1" ht="21" customHeight="1">
      <c r="A329" s="186"/>
      <c r="B329" s="87"/>
      <c r="C329" s="85" t="s">
        <v>480</v>
      </c>
      <c r="D329" s="645">
        <v>646</v>
      </c>
      <c r="E329" s="645"/>
      <c r="F329" s="645"/>
      <c r="G329" s="645"/>
      <c r="H329" s="604"/>
      <c r="I329" s="334"/>
      <c r="J329" s="334"/>
      <c r="K329" s="598"/>
      <c r="L329" s="334"/>
      <c r="M329" s="334"/>
      <c r="N329" s="334"/>
      <c r="O329" s="334"/>
      <c r="P329" s="334"/>
      <c r="Q329" s="334"/>
      <c r="R329" s="334"/>
      <c r="S329" s="334"/>
      <c r="T329" s="334"/>
      <c r="U329" s="334"/>
      <c r="V329" s="334"/>
      <c r="W329" s="334"/>
      <c r="X329" s="334"/>
      <c r="Y329" s="334"/>
      <c r="Z329" s="334"/>
      <c r="AA329" s="334"/>
      <c r="AB329" s="334"/>
      <c r="AC329" s="334"/>
      <c r="AD329" s="334"/>
      <c r="AE329" s="334"/>
      <c r="AF329" s="334"/>
      <c r="AG329" s="334"/>
      <c r="AH329" s="334"/>
      <c r="AI329" s="334"/>
      <c r="AJ329" s="334"/>
      <c r="AK329" s="334"/>
      <c r="AL329" s="334"/>
      <c r="AM329" s="334"/>
      <c r="AN329" s="334"/>
      <c r="AO329" s="334"/>
      <c r="AP329" s="334"/>
      <c r="AQ329" s="334"/>
      <c r="AR329" s="334"/>
      <c r="AS329" s="334"/>
      <c r="AT329" s="334"/>
      <c r="AU329" s="334"/>
    </row>
    <row r="330" spans="1:47" s="34" customFormat="1" ht="21" customHeight="1">
      <c r="A330" s="186"/>
      <c r="B330" s="87"/>
      <c r="C330" s="85" t="s">
        <v>81</v>
      </c>
      <c r="D330" s="645">
        <v>400</v>
      </c>
      <c r="E330" s="645"/>
      <c r="F330" s="645"/>
      <c r="G330" s="645"/>
      <c r="H330" s="604"/>
      <c r="I330" s="334"/>
      <c r="J330" s="334"/>
      <c r="K330" s="598"/>
      <c r="L330" s="334"/>
      <c r="M330" s="334"/>
      <c r="N330" s="334"/>
      <c r="O330" s="334"/>
      <c r="P330" s="334"/>
      <c r="Q330" s="334"/>
      <c r="R330" s="334"/>
      <c r="S330" s="334"/>
      <c r="T330" s="334"/>
      <c r="U330" s="334"/>
      <c r="V330" s="334"/>
      <c r="W330" s="334"/>
      <c r="X330" s="334"/>
      <c r="Y330" s="334"/>
      <c r="Z330" s="334"/>
      <c r="AA330" s="334"/>
      <c r="AB330" s="334"/>
      <c r="AC330" s="334"/>
      <c r="AD330" s="334"/>
      <c r="AE330" s="334"/>
      <c r="AF330" s="334"/>
      <c r="AG330" s="334"/>
      <c r="AH330" s="334"/>
      <c r="AI330" s="334"/>
      <c r="AJ330" s="334"/>
      <c r="AK330" s="334"/>
      <c r="AL330" s="334"/>
      <c r="AM330" s="334"/>
      <c r="AN330" s="334"/>
      <c r="AO330" s="334"/>
      <c r="AP330" s="334"/>
      <c r="AQ330" s="334"/>
      <c r="AR330" s="334"/>
      <c r="AS330" s="334"/>
      <c r="AT330" s="334"/>
      <c r="AU330" s="334"/>
    </row>
    <row r="331" spans="1:47" s="34" customFormat="1" ht="21" customHeight="1">
      <c r="A331" s="186"/>
      <c r="B331" s="87"/>
      <c r="C331" s="85" t="s">
        <v>82</v>
      </c>
      <c r="D331" s="645">
        <v>1100</v>
      </c>
      <c r="E331" s="645"/>
      <c r="F331" s="645"/>
      <c r="G331" s="645"/>
      <c r="H331" s="604"/>
      <c r="I331" s="334"/>
      <c r="J331" s="334"/>
      <c r="K331" s="598"/>
      <c r="L331" s="334"/>
      <c r="M331" s="334"/>
      <c r="N331" s="334"/>
      <c r="O331" s="334"/>
      <c r="P331" s="334"/>
      <c r="Q331" s="334"/>
      <c r="R331" s="334"/>
      <c r="S331" s="334"/>
      <c r="T331" s="334"/>
      <c r="U331" s="334"/>
      <c r="V331" s="334"/>
      <c r="W331" s="334"/>
      <c r="X331" s="334"/>
      <c r="Y331" s="334"/>
      <c r="Z331" s="334"/>
      <c r="AA331" s="334"/>
      <c r="AB331" s="334"/>
      <c r="AC331" s="334"/>
      <c r="AD331" s="334"/>
      <c r="AE331" s="334"/>
      <c r="AF331" s="334"/>
      <c r="AG331" s="334"/>
      <c r="AH331" s="334"/>
      <c r="AI331" s="334"/>
      <c r="AJ331" s="334"/>
      <c r="AK331" s="334"/>
      <c r="AL331" s="334"/>
      <c r="AM331" s="334"/>
      <c r="AN331" s="334"/>
      <c r="AO331" s="334"/>
      <c r="AP331" s="334"/>
      <c r="AQ331" s="334"/>
      <c r="AR331" s="334"/>
      <c r="AS331" s="334"/>
      <c r="AT331" s="334"/>
      <c r="AU331" s="334"/>
    </row>
    <row r="332" spans="1:47" s="34" customFormat="1" ht="21" customHeight="1">
      <c r="A332" s="186"/>
      <c r="B332" s="87"/>
      <c r="C332" s="85" t="s">
        <v>467</v>
      </c>
      <c r="D332" s="645">
        <v>200</v>
      </c>
      <c r="E332" s="645"/>
      <c r="F332" s="645"/>
      <c r="G332" s="645"/>
      <c r="H332" s="604"/>
      <c r="I332" s="334"/>
      <c r="J332" s="334"/>
      <c r="K332" s="598"/>
      <c r="L332" s="334"/>
      <c r="M332" s="334"/>
      <c r="N332" s="334"/>
      <c r="O332" s="334"/>
      <c r="P332" s="334"/>
      <c r="Q332" s="334"/>
      <c r="R332" s="334"/>
      <c r="S332" s="334"/>
      <c r="T332" s="334"/>
      <c r="U332" s="334"/>
      <c r="V332" s="334"/>
      <c r="W332" s="334"/>
      <c r="X332" s="334"/>
      <c r="Y332" s="334"/>
      <c r="Z332" s="334"/>
      <c r="AA332" s="334"/>
      <c r="AB332" s="334"/>
      <c r="AC332" s="334"/>
      <c r="AD332" s="334"/>
      <c r="AE332" s="334"/>
      <c r="AF332" s="334"/>
      <c r="AG332" s="334"/>
      <c r="AH332" s="334"/>
      <c r="AI332" s="334"/>
      <c r="AJ332" s="334"/>
      <c r="AK332" s="334"/>
      <c r="AL332" s="334"/>
      <c r="AM332" s="334"/>
      <c r="AN332" s="334"/>
      <c r="AO332" s="334"/>
      <c r="AP332" s="334"/>
      <c r="AQ332" s="334"/>
      <c r="AR332" s="334"/>
      <c r="AS332" s="334"/>
      <c r="AT332" s="334"/>
      <c r="AU332" s="334"/>
    </row>
    <row r="333" spans="1:47" s="34" customFormat="1" ht="21" customHeight="1">
      <c r="A333" s="186"/>
      <c r="B333" s="87"/>
      <c r="C333" s="85" t="s">
        <v>446</v>
      </c>
      <c r="D333" s="645">
        <v>400</v>
      </c>
      <c r="E333" s="645"/>
      <c r="F333" s="645"/>
      <c r="G333" s="645"/>
      <c r="H333" s="604"/>
      <c r="I333" s="334"/>
      <c r="J333" s="334"/>
      <c r="K333" s="598"/>
      <c r="L333" s="334"/>
      <c r="M333" s="334"/>
      <c r="N333" s="334"/>
      <c r="O333" s="334"/>
      <c r="P333" s="334"/>
      <c r="Q333" s="334"/>
      <c r="R333" s="334"/>
      <c r="S333" s="334"/>
      <c r="T333" s="334"/>
      <c r="U333" s="334"/>
      <c r="V333" s="334"/>
      <c r="W333" s="334"/>
      <c r="X333" s="334"/>
      <c r="Y333" s="334"/>
      <c r="Z333" s="334"/>
      <c r="AA333" s="334"/>
      <c r="AB333" s="334"/>
      <c r="AC333" s="334"/>
      <c r="AD333" s="334"/>
      <c r="AE333" s="334"/>
      <c r="AF333" s="334"/>
      <c r="AG333" s="334"/>
      <c r="AH333" s="334"/>
      <c r="AI333" s="334"/>
      <c r="AJ333" s="334"/>
      <c r="AK333" s="334"/>
      <c r="AL333" s="334"/>
      <c r="AM333" s="334"/>
      <c r="AN333" s="334"/>
      <c r="AO333" s="334"/>
      <c r="AP333" s="334"/>
      <c r="AQ333" s="334"/>
      <c r="AR333" s="334"/>
      <c r="AS333" s="334"/>
      <c r="AT333" s="334"/>
      <c r="AU333" s="334"/>
    </row>
    <row r="334" spans="1:47" s="34" customFormat="1" ht="21" customHeight="1">
      <c r="A334" s="186"/>
      <c r="B334" s="87"/>
      <c r="C334" s="85" t="s">
        <v>481</v>
      </c>
      <c r="D334" s="645">
        <v>922</v>
      </c>
      <c r="E334" s="645"/>
      <c r="F334" s="645"/>
      <c r="G334" s="645"/>
      <c r="H334" s="604"/>
      <c r="I334" s="334"/>
      <c r="J334" s="334"/>
      <c r="K334" s="598"/>
      <c r="L334" s="334"/>
      <c r="M334" s="334"/>
      <c r="N334" s="334"/>
      <c r="O334" s="334"/>
      <c r="P334" s="334"/>
      <c r="Q334" s="334"/>
      <c r="R334" s="334"/>
      <c r="S334" s="334"/>
      <c r="T334" s="334"/>
      <c r="U334" s="334"/>
      <c r="V334" s="334"/>
      <c r="W334" s="334"/>
      <c r="X334" s="334"/>
      <c r="Y334" s="334"/>
      <c r="Z334" s="334"/>
      <c r="AA334" s="334"/>
      <c r="AB334" s="334"/>
      <c r="AC334" s="334"/>
      <c r="AD334" s="334"/>
      <c r="AE334" s="334"/>
      <c r="AF334" s="334"/>
      <c r="AG334" s="334"/>
      <c r="AH334" s="334"/>
      <c r="AI334" s="334"/>
      <c r="AJ334" s="334"/>
      <c r="AK334" s="334"/>
      <c r="AL334" s="334"/>
      <c r="AM334" s="334"/>
      <c r="AN334" s="334"/>
      <c r="AO334" s="334"/>
      <c r="AP334" s="334"/>
      <c r="AQ334" s="334"/>
      <c r="AR334" s="334"/>
      <c r="AS334" s="334"/>
      <c r="AT334" s="334"/>
      <c r="AU334" s="334"/>
    </row>
    <row r="335" spans="1:47" s="34" customFormat="1" ht="21" customHeight="1">
      <c r="A335" s="87"/>
      <c r="B335" s="162" t="s">
        <v>464</v>
      </c>
      <c r="C335" s="85"/>
      <c r="D335" s="645">
        <f>SUM(D336:D350)</f>
        <v>32328</v>
      </c>
      <c r="E335" s="645"/>
      <c r="F335" s="645">
        <f>SUM(F336:F350)</f>
        <v>41137</v>
      </c>
      <c r="G335" s="645"/>
      <c r="H335" s="604"/>
      <c r="I335" s="334"/>
      <c r="J335" s="334"/>
      <c r="K335" s="598"/>
      <c r="L335" s="334"/>
      <c r="M335" s="334"/>
      <c r="N335" s="334"/>
      <c r="O335" s="334"/>
      <c r="P335" s="334"/>
      <c r="Q335" s="334"/>
      <c r="R335" s="334"/>
      <c r="S335" s="334"/>
      <c r="T335" s="334"/>
      <c r="U335" s="334"/>
      <c r="V335" s="334"/>
      <c r="W335" s="334"/>
      <c r="X335" s="334"/>
      <c r="Y335" s="334"/>
      <c r="Z335" s="334"/>
      <c r="AA335" s="334"/>
      <c r="AB335" s="334"/>
      <c r="AC335" s="334"/>
      <c r="AD335" s="334"/>
      <c r="AE335" s="334"/>
      <c r="AF335" s="334"/>
      <c r="AG335" s="334"/>
      <c r="AH335" s="334"/>
      <c r="AI335" s="334"/>
      <c r="AJ335" s="334"/>
      <c r="AK335" s="334"/>
      <c r="AL335" s="334"/>
      <c r="AM335" s="334"/>
      <c r="AN335" s="334"/>
      <c r="AO335" s="334"/>
      <c r="AP335" s="334"/>
      <c r="AQ335" s="334"/>
      <c r="AR335" s="334"/>
      <c r="AS335" s="334"/>
      <c r="AT335" s="334"/>
      <c r="AU335" s="334"/>
    </row>
    <row r="336" spans="1:47" s="34" customFormat="1" ht="21" customHeight="1">
      <c r="A336" s="186"/>
      <c r="B336" s="83"/>
      <c r="C336" s="85" t="s">
        <v>459</v>
      </c>
      <c r="D336" s="645"/>
      <c r="E336" s="645"/>
      <c r="F336" s="645">
        <v>25560</v>
      </c>
      <c r="G336" s="645"/>
      <c r="H336" s="604"/>
      <c r="I336" s="334"/>
      <c r="J336" s="334"/>
      <c r="K336" s="598"/>
      <c r="L336" s="334"/>
      <c r="M336" s="334"/>
      <c r="N336" s="334"/>
      <c r="O336" s="334"/>
      <c r="P336" s="334"/>
      <c r="Q336" s="334"/>
      <c r="R336" s="334"/>
      <c r="S336" s="334"/>
      <c r="T336" s="334"/>
      <c r="U336" s="334"/>
      <c r="V336" s="334"/>
      <c r="W336" s="334"/>
      <c r="X336" s="334"/>
      <c r="Y336" s="334"/>
      <c r="Z336" s="334"/>
      <c r="AA336" s="334"/>
      <c r="AB336" s="334"/>
      <c r="AC336" s="334"/>
      <c r="AD336" s="334"/>
      <c r="AE336" s="334"/>
      <c r="AF336" s="334"/>
      <c r="AG336" s="334"/>
      <c r="AH336" s="334"/>
      <c r="AI336" s="334"/>
      <c r="AJ336" s="334"/>
      <c r="AK336" s="334"/>
      <c r="AL336" s="334"/>
      <c r="AM336" s="334"/>
      <c r="AN336" s="334"/>
      <c r="AO336" s="334"/>
      <c r="AP336" s="334"/>
      <c r="AQ336" s="334"/>
      <c r="AR336" s="334"/>
      <c r="AS336" s="334"/>
      <c r="AT336" s="334"/>
      <c r="AU336" s="334"/>
    </row>
    <row r="337" spans="1:47" s="34" customFormat="1" ht="21" customHeight="1">
      <c r="A337" s="186"/>
      <c r="B337" s="87"/>
      <c r="C337" s="85" t="s">
        <v>479</v>
      </c>
      <c r="D337" s="645">
        <v>450</v>
      </c>
      <c r="E337" s="645"/>
      <c r="F337" s="645"/>
      <c r="G337" s="645"/>
      <c r="H337" s="604"/>
      <c r="I337" s="334"/>
      <c r="J337" s="334"/>
      <c r="K337" s="598"/>
      <c r="L337" s="334"/>
      <c r="M337" s="334"/>
      <c r="N337" s="334"/>
      <c r="O337" s="334"/>
      <c r="P337" s="334"/>
      <c r="Q337" s="334"/>
      <c r="R337" s="334"/>
      <c r="S337" s="334"/>
      <c r="T337" s="334"/>
      <c r="U337" s="334"/>
      <c r="V337" s="334"/>
      <c r="W337" s="334"/>
      <c r="X337" s="334"/>
      <c r="Y337" s="334"/>
      <c r="Z337" s="334"/>
      <c r="AA337" s="334"/>
      <c r="AB337" s="334"/>
      <c r="AC337" s="334"/>
      <c r="AD337" s="334"/>
      <c r="AE337" s="334"/>
      <c r="AF337" s="334"/>
      <c r="AG337" s="334"/>
      <c r="AH337" s="334"/>
      <c r="AI337" s="334"/>
      <c r="AJ337" s="334"/>
      <c r="AK337" s="334"/>
      <c r="AL337" s="334"/>
      <c r="AM337" s="334"/>
      <c r="AN337" s="334"/>
      <c r="AO337" s="334"/>
      <c r="AP337" s="334"/>
      <c r="AQ337" s="334"/>
      <c r="AR337" s="334"/>
      <c r="AS337" s="334"/>
      <c r="AT337" s="334"/>
      <c r="AU337" s="334"/>
    </row>
    <row r="338" spans="1:47" s="34" customFormat="1" ht="21" customHeight="1">
      <c r="A338" s="186"/>
      <c r="B338" s="87"/>
      <c r="C338" s="85" t="s">
        <v>81</v>
      </c>
      <c r="D338" s="645">
        <v>260</v>
      </c>
      <c r="E338" s="645"/>
      <c r="F338" s="645"/>
      <c r="G338" s="645"/>
      <c r="H338" s="604"/>
      <c r="I338" s="334"/>
      <c r="J338" s="334"/>
      <c r="K338" s="598"/>
      <c r="L338" s="334"/>
      <c r="M338" s="334"/>
      <c r="N338" s="334"/>
      <c r="O338" s="334"/>
      <c r="P338" s="334"/>
      <c r="Q338" s="334"/>
      <c r="R338" s="334"/>
      <c r="S338" s="334"/>
      <c r="T338" s="334"/>
      <c r="U338" s="334"/>
      <c r="V338" s="334"/>
      <c r="W338" s="334"/>
      <c r="X338" s="334"/>
      <c r="Y338" s="334"/>
      <c r="Z338" s="334"/>
      <c r="AA338" s="334"/>
      <c r="AB338" s="334"/>
      <c r="AC338" s="334"/>
      <c r="AD338" s="334"/>
      <c r="AE338" s="334"/>
      <c r="AF338" s="334"/>
      <c r="AG338" s="334"/>
      <c r="AH338" s="334"/>
      <c r="AI338" s="334"/>
      <c r="AJ338" s="334"/>
      <c r="AK338" s="334"/>
      <c r="AL338" s="334"/>
      <c r="AM338" s="334"/>
      <c r="AN338" s="334"/>
      <c r="AO338" s="334"/>
      <c r="AP338" s="334"/>
      <c r="AQ338" s="334"/>
      <c r="AR338" s="334"/>
      <c r="AS338" s="334"/>
      <c r="AT338" s="334"/>
      <c r="AU338" s="334"/>
    </row>
    <row r="339" spans="1:47" s="34" customFormat="1" ht="21" customHeight="1">
      <c r="A339" s="186"/>
      <c r="B339" s="87"/>
      <c r="C339" s="85" t="s">
        <v>80</v>
      </c>
      <c r="D339" s="645">
        <v>8000</v>
      </c>
      <c r="E339" s="645"/>
      <c r="F339" s="645"/>
      <c r="G339" s="645"/>
      <c r="H339" s="604"/>
      <c r="I339" s="334"/>
      <c r="J339" s="334"/>
      <c r="K339" s="598"/>
      <c r="L339" s="334"/>
      <c r="M339" s="334"/>
      <c r="N339" s="334"/>
      <c r="O339" s="334"/>
      <c r="P339" s="334"/>
      <c r="Q339" s="334"/>
      <c r="R339" s="334"/>
      <c r="S339" s="334"/>
      <c r="T339" s="334"/>
      <c r="U339" s="334"/>
      <c r="V339" s="334"/>
      <c r="W339" s="334"/>
      <c r="X339" s="334"/>
      <c r="Y339" s="334"/>
      <c r="Z339" s="334"/>
      <c r="AA339" s="334"/>
      <c r="AB339" s="334"/>
      <c r="AC339" s="334"/>
      <c r="AD339" s="334"/>
      <c r="AE339" s="334"/>
      <c r="AF339" s="334"/>
      <c r="AG339" s="334"/>
      <c r="AH339" s="334"/>
      <c r="AI339" s="334"/>
      <c r="AJ339" s="334"/>
      <c r="AK339" s="334"/>
      <c r="AL339" s="334"/>
      <c r="AM339" s="334"/>
      <c r="AN339" s="334"/>
      <c r="AO339" s="334"/>
      <c r="AP339" s="334"/>
      <c r="AQ339" s="334"/>
      <c r="AR339" s="334"/>
      <c r="AS339" s="334"/>
      <c r="AT339" s="334"/>
      <c r="AU339" s="334"/>
    </row>
    <row r="340" spans="1:47" s="34" customFormat="1" ht="21" customHeight="1">
      <c r="A340" s="186"/>
      <c r="B340" s="87"/>
      <c r="C340" s="85" t="s">
        <v>81</v>
      </c>
      <c r="D340" s="645"/>
      <c r="E340" s="645"/>
      <c r="F340" s="645">
        <v>15576</v>
      </c>
      <c r="G340" s="645"/>
      <c r="H340" s="604"/>
      <c r="I340" s="334"/>
      <c r="J340" s="334"/>
      <c r="K340" s="598"/>
      <c r="L340" s="334"/>
      <c r="M340" s="334"/>
      <c r="N340" s="334"/>
      <c r="O340" s="334"/>
      <c r="P340" s="334"/>
      <c r="Q340" s="334"/>
      <c r="R340" s="334"/>
      <c r="S340" s="334"/>
      <c r="T340" s="334"/>
      <c r="U340" s="334"/>
      <c r="V340" s="334"/>
      <c r="W340" s="334"/>
      <c r="X340" s="334"/>
      <c r="Y340" s="334"/>
      <c r="Z340" s="334"/>
      <c r="AA340" s="334"/>
      <c r="AB340" s="334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</row>
    <row r="341" spans="1:47" s="34" customFormat="1" ht="21" customHeight="1">
      <c r="A341" s="186"/>
      <c r="B341" s="87"/>
      <c r="C341" s="85" t="s">
        <v>82</v>
      </c>
      <c r="D341" s="645">
        <v>2004</v>
      </c>
      <c r="E341" s="645"/>
      <c r="F341" s="645"/>
      <c r="G341" s="645"/>
      <c r="H341" s="604"/>
      <c r="I341" s="334"/>
      <c r="J341" s="334"/>
      <c r="K341" s="598"/>
      <c r="L341" s="334"/>
      <c r="M341" s="334"/>
      <c r="N341" s="334"/>
      <c r="O341" s="334"/>
      <c r="P341" s="334"/>
      <c r="Q341" s="334"/>
      <c r="R341" s="334"/>
      <c r="S341" s="334"/>
      <c r="T341" s="334"/>
      <c r="U341" s="334"/>
      <c r="V341" s="334"/>
      <c r="W341" s="334"/>
      <c r="X341" s="334"/>
      <c r="Y341" s="334"/>
      <c r="Z341" s="334"/>
      <c r="AA341" s="334"/>
      <c r="AB341" s="334"/>
      <c r="AC341" s="334"/>
      <c r="AD341" s="334"/>
      <c r="AE341" s="334"/>
      <c r="AF341" s="334"/>
      <c r="AG341" s="334"/>
      <c r="AH341" s="334"/>
      <c r="AI341" s="334"/>
      <c r="AJ341" s="334"/>
      <c r="AK341" s="334"/>
      <c r="AL341" s="334"/>
      <c r="AM341" s="334"/>
      <c r="AN341" s="334"/>
      <c r="AO341" s="334"/>
      <c r="AP341" s="334"/>
      <c r="AQ341" s="334"/>
      <c r="AR341" s="334"/>
      <c r="AS341" s="334"/>
      <c r="AT341" s="334"/>
      <c r="AU341" s="334"/>
    </row>
    <row r="342" spans="1:47" s="34" customFormat="1" ht="21" customHeight="1">
      <c r="A342" s="186"/>
      <c r="B342" s="87"/>
      <c r="C342" s="85" t="s">
        <v>474</v>
      </c>
      <c r="D342" s="645">
        <v>14000</v>
      </c>
      <c r="E342" s="645"/>
      <c r="F342" s="645"/>
      <c r="G342" s="645"/>
      <c r="H342" s="604"/>
      <c r="I342" s="334"/>
      <c r="J342" s="334"/>
      <c r="K342" s="598"/>
      <c r="L342" s="334"/>
      <c r="M342" s="334"/>
      <c r="N342" s="334"/>
      <c r="O342" s="334"/>
      <c r="P342" s="334"/>
      <c r="Q342" s="334"/>
      <c r="R342" s="334"/>
      <c r="S342" s="334"/>
      <c r="T342" s="334"/>
      <c r="U342" s="334"/>
      <c r="V342" s="334"/>
      <c r="W342" s="334"/>
      <c r="X342" s="334"/>
      <c r="Y342" s="334"/>
      <c r="Z342" s="334"/>
      <c r="AA342" s="334"/>
      <c r="AB342" s="334"/>
      <c r="AC342" s="334"/>
      <c r="AD342" s="334"/>
      <c r="AE342" s="334"/>
      <c r="AF342" s="334"/>
      <c r="AG342" s="334"/>
      <c r="AH342" s="334"/>
      <c r="AI342" s="334"/>
      <c r="AJ342" s="334"/>
      <c r="AK342" s="334"/>
      <c r="AL342" s="334"/>
      <c r="AM342" s="334"/>
      <c r="AN342" s="334"/>
      <c r="AO342" s="334"/>
      <c r="AP342" s="334"/>
      <c r="AQ342" s="334"/>
      <c r="AR342" s="334"/>
      <c r="AS342" s="334"/>
      <c r="AT342" s="334"/>
      <c r="AU342" s="334"/>
    </row>
    <row r="343" spans="1:47" s="34" customFormat="1" ht="21" customHeight="1">
      <c r="A343" s="186"/>
      <c r="B343" s="87"/>
      <c r="C343" s="85" t="s">
        <v>467</v>
      </c>
      <c r="D343" s="645">
        <v>2000</v>
      </c>
      <c r="E343" s="645"/>
      <c r="F343" s="645"/>
      <c r="G343" s="645"/>
      <c r="H343" s="604"/>
      <c r="I343" s="334"/>
      <c r="J343" s="334"/>
      <c r="K343" s="598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4"/>
      <c r="AA343" s="334"/>
      <c r="AB343" s="334"/>
      <c r="AC343" s="334"/>
      <c r="AD343" s="334"/>
      <c r="AE343" s="334"/>
      <c r="AF343" s="334"/>
      <c r="AG343" s="334"/>
      <c r="AH343" s="334"/>
      <c r="AI343" s="334"/>
      <c r="AJ343" s="334"/>
      <c r="AK343" s="334"/>
      <c r="AL343" s="334"/>
      <c r="AM343" s="334"/>
      <c r="AN343" s="334"/>
      <c r="AO343" s="334"/>
      <c r="AP343" s="334"/>
      <c r="AQ343" s="334"/>
      <c r="AR343" s="334"/>
      <c r="AS343" s="334"/>
      <c r="AT343" s="334"/>
      <c r="AU343" s="334"/>
    </row>
    <row r="344" spans="1:47" s="34" customFormat="1" ht="21" customHeight="1">
      <c r="A344" s="186"/>
      <c r="B344" s="87"/>
      <c r="C344" s="85" t="s">
        <v>446</v>
      </c>
      <c r="D344" s="645">
        <v>3600</v>
      </c>
      <c r="E344" s="645"/>
      <c r="F344" s="645"/>
      <c r="G344" s="645"/>
      <c r="H344" s="604"/>
      <c r="I344" s="334"/>
      <c r="J344" s="334"/>
      <c r="K344" s="598"/>
      <c r="L344" s="334"/>
      <c r="M344" s="334"/>
      <c r="N344" s="334"/>
      <c r="O344" s="334"/>
      <c r="P344" s="334"/>
      <c r="Q344" s="334"/>
      <c r="R344" s="334"/>
      <c r="S344" s="334"/>
      <c r="T344" s="334"/>
      <c r="U344" s="334"/>
      <c r="V344" s="334"/>
      <c r="W344" s="334"/>
      <c r="X344" s="334"/>
      <c r="Y344" s="334"/>
      <c r="Z344" s="334"/>
      <c r="AA344" s="334"/>
      <c r="AB344" s="334"/>
      <c r="AC344" s="334"/>
      <c r="AD344" s="334"/>
      <c r="AE344" s="334"/>
      <c r="AF344" s="334"/>
      <c r="AG344" s="334"/>
      <c r="AH344" s="334"/>
      <c r="AI344" s="334"/>
      <c r="AJ344" s="334"/>
      <c r="AK344" s="334"/>
      <c r="AL344" s="334"/>
      <c r="AM344" s="334"/>
      <c r="AN344" s="334"/>
      <c r="AO344" s="334"/>
      <c r="AP344" s="334"/>
      <c r="AQ344" s="334"/>
      <c r="AR344" s="334"/>
      <c r="AS344" s="334"/>
      <c r="AT344" s="334"/>
      <c r="AU344" s="334"/>
    </row>
    <row r="345" spans="1:47" s="34" customFormat="1" ht="21" customHeight="1">
      <c r="A345" s="186"/>
      <c r="B345" s="87"/>
      <c r="C345" s="85" t="s">
        <v>469</v>
      </c>
      <c r="D345" s="645">
        <v>1</v>
      </c>
      <c r="E345" s="645"/>
      <c r="F345" s="645"/>
      <c r="G345" s="645"/>
      <c r="H345" s="604"/>
      <c r="I345" s="334"/>
      <c r="J345" s="334"/>
      <c r="K345" s="598"/>
      <c r="L345" s="334"/>
      <c r="M345" s="334"/>
      <c r="N345" s="334"/>
      <c r="O345" s="334"/>
      <c r="P345" s="334"/>
      <c r="Q345" s="334"/>
      <c r="R345" s="334"/>
      <c r="S345" s="334"/>
      <c r="T345" s="334"/>
      <c r="U345" s="334"/>
      <c r="V345" s="334"/>
      <c r="W345" s="334"/>
      <c r="X345" s="334"/>
      <c r="Y345" s="334"/>
      <c r="Z345" s="334"/>
      <c r="AA345" s="334"/>
      <c r="AB345" s="334"/>
      <c r="AC345" s="334"/>
      <c r="AD345" s="334"/>
      <c r="AE345" s="334"/>
      <c r="AF345" s="334"/>
      <c r="AG345" s="334"/>
      <c r="AH345" s="334"/>
      <c r="AI345" s="334"/>
      <c r="AJ345" s="334"/>
      <c r="AK345" s="334"/>
      <c r="AL345" s="334"/>
      <c r="AM345" s="334"/>
      <c r="AN345" s="334"/>
      <c r="AO345" s="334"/>
      <c r="AP345" s="334"/>
      <c r="AQ345" s="334"/>
      <c r="AR345" s="334"/>
      <c r="AS345" s="334"/>
      <c r="AT345" s="334"/>
      <c r="AU345" s="334"/>
    </row>
    <row r="346" spans="1:47" s="34" customFormat="1" ht="21" customHeight="1">
      <c r="A346" s="186"/>
      <c r="B346" s="87"/>
      <c r="C346" s="85" t="s">
        <v>494</v>
      </c>
      <c r="D346" s="645">
        <v>1264</v>
      </c>
      <c r="E346" s="645"/>
      <c r="F346" s="645"/>
      <c r="G346" s="645"/>
      <c r="H346" s="604"/>
      <c r="I346" s="334"/>
      <c r="J346" s="334"/>
      <c r="K346" s="598"/>
      <c r="L346" s="334"/>
      <c r="M346" s="334"/>
      <c r="N346" s="334"/>
      <c r="O346" s="334"/>
      <c r="P346" s="334"/>
      <c r="Q346" s="334"/>
      <c r="R346" s="334"/>
      <c r="S346" s="334"/>
      <c r="T346" s="334"/>
      <c r="U346" s="334"/>
      <c r="V346" s="334"/>
      <c r="W346" s="334"/>
      <c r="X346" s="334"/>
      <c r="Y346" s="334"/>
      <c r="Z346" s="334"/>
      <c r="AA346" s="334"/>
      <c r="AB346" s="334"/>
      <c r="AC346" s="334"/>
      <c r="AD346" s="334"/>
      <c r="AE346" s="334"/>
      <c r="AF346" s="334"/>
      <c r="AG346" s="334"/>
      <c r="AH346" s="334"/>
      <c r="AI346" s="334"/>
      <c r="AJ346" s="334"/>
      <c r="AK346" s="334"/>
      <c r="AL346" s="334"/>
      <c r="AM346" s="334"/>
      <c r="AN346" s="334"/>
      <c r="AO346" s="334"/>
      <c r="AP346" s="334"/>
      <c r="AQ346" s="334"/>
      <c r="AR346" s="334"/>
      <c r="AS346" s="334"/>
      <c r="AT346" s="334"/>
      <c r="AU346" s="334"/>
    </row>
    <row r="347" spans="1:47" s="34" customFormat="1" ht="21" customHeight="1">
      <c r="A347" s="186"/>
      <c r="B347" s="87"/>
      <c r="C347" s="85" t="s">
        <v>392</v>
      </c>
      <c r="D347" s="645">
        <v>180</v>
      </c>
      <c r="E347" s="645"/>
      <c r="F347" s="645"/>
      <c r="G347" s="645"/>
      <c r="H347" s="604"/>
      <c r="I347" s="334"/>
      <c r="J347" s="334"/>
      <c r="K347" s="598"/>
      <c r="L347" s="334"/>
      <c r="M347" s="334"/>
      <c r="N347" s="334"/>
      <c r="O347" s="334"/>
      <c r="P347" s="334"/>
      <c r="Q347" s="334"/>
      <c r="R347" s="334"/>
      <c r="S347" s="334"/>
      <c r="T347" s="334"/>
      <c r="U347" s="334"/>
      <c r="V347" s="334"/>
      <c r="W347" s="334"/>
      <c r="X347" s="334"/>
      <c r="Y347" s="334"/>
      <c r="Z347" s="334"/>
      <c r="AA347" s="334"/>
      <c r="AB347" s="334"/>
      <c r="AC347" s="334"/>
      <c r="AD347" s="334"/>
      <c r="AE347" s="334"/>
      <c r="AF347" s="334"/>
      <c r="AG347" s="334"/>
      <c r="AH347" s="334"/>
      <c r="AI347" s="334"/>
      <c r="AJ347" s="334"/>
      <c r="AK347" s="334"/>
      <c r="AL347" s="334"/>
      <c r="AM347" s="334"/>
      <c r="AN347" s="334"/>
      <c r="AO347" s="334"/>
      <c r="AP347" s="334"/>
      <c r="AQ347" s="334"/>
      <c r="AR347" s="334"/>
      <c r="AS347" s="334"/>
      <c r="AT347" s="334"/>
      <c r="AU347" s="334"/>
    </row>
    <row r="348" spans="1:47" s="34" customFormat="1" ht="21" customHeight="1">
      <c r="A348" s="186"/>
      <c r="B348" s="87"/>
      <c r="C348" s="85" t="s">
        <v>477</v>
      </c>
      <c r="D348" s="645">
        <v>189</v>
      </c>
      <c r="E348" s="645"/>
      <c r="F348" s="645"/>
      <c r="G348" s="645"/>
      <c r="H348" s="604"/>
      <c r="I348" s="334"/>
      <c r="J348" s="334"/>
      <c r="K348" s="598"/>
      <c r="L348" s="334"/>
      <c r="M348" s="334"/>
      <c r="N348" s="334"/>
      <c r="O348" s="334"/>
      <c r="P348" s="334"/>
      <c r="Q348" s="334"/>
      <c r="R348" s="334"/>
      <c r="S348" s="334"/>
      <c r="T348" s="334"/>
      <c r="U348" s="334"/>
      <c r="V348" s="334"/>
      <c r="W348" s="334"/>
      <c r="X348" s="334"/>
      <c r="Y348" s="334"/>
      <c r="Z348" s="334"/>
      <c r="AA348" s="334"/>
      <c r="AB348" s="334"/>
      <c r="AC348" s="334"/>
      <c r="AD348" s="334"/>
      <c r="AE348" s="334"/>
      <c r="AF348" s="334"/>
      <c r="AG348" s="334"/>
      <c r="AH348" s="334"/>
      <c r="AI348" s="334"/>
      <c r="AJ348" s="334"/>
      <c r="AK348" s="334"/>
      <c r="AL348" s="334"/>
      <c r="AM348" s="334"/>
      <c r="AN348" s="334"/>
      <c r="AO348" s="334"/>
      <c r="AP348" s="334"/>
      <c r="AQ348" s="334"/>
      <c r="AR348" s="334"/>
      <c r="AS348" s="334"/>
      <c r="AT348" s="334"/>
      <c r="AU348" s="334"/>
    </row>
    <row r="349" spans="1:47" s="34" customFormat="1" ht="21" customHeight="1">
      <c r="A349" s="186"/>
      <c r="B349" s="87"/>
      <c r="C349" s="85" t="s">
        <v>495</v>
      </c>
      <c r="D349" s="645"/>
      <c r="E349" s="645"/>
      <c r="F349" s="645">
        <v>1</v>
      </c>
      <c r="G349" s="645"/>
      <c r="H349" s="604"/>
      <c r="I349" s="334"/>
      <c r="J349" s="334"/>
      <c r="K349" s="598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34"/>
      <c r="Z349" s="334"/>
      <c r="AA349" s="334"/>
      <c r="AB349" s="334"/>
      <c r="AC349" s="334"/>
      <c r="AD349" s="334"/>
      <c r="AE349" s="334"/>
      <c r="AF349" s="334"/>
      <c r="AG349" s="334"/>
      <c r="AH349" s="334"/>
      <c r="AI349" s="334"/>
      <c r="AJ349" s="334"/>
      <c r="AK349" s="334"/>
      <c r="AL349" s="334"/>
      <c r="AM349" s="334"/>
      <c r="AN349" s="334"/>
      <c r="AO349" s="334"/>
      <c r="AP349" s="334"/>
      <c r="AQ349" s="334"/>
      <c r="AR349" s="334"/>
      <c r="AS349" s="334"/>
      <c r="AT349" s="334"/>
      <c r="AU349" s="334"/>
    </row>
    <row r="350" spans="1:47" s="34" customFormat="1" ht="21" customHeight="1">
      <c r="A350" s="186"/>
      <c r="B350" s="87"/>
      <c r="C350" s="85" t="s">
        <v>397</v>
      </c>
      <c r="D350" s="645">
        <v>380</v>
      </c>
      <c r="E350" s="645"/>
      <c r="F350" s="645"/>
      <c r="G350" s="645"/>
      <c r="H350" s="604"/>
      <c r="I350" s="334"/>
      <c r="J350" s="334"/>
      <c r="K350" s="598"/>
      <c r="L350" s="334"/>
      <c r="M350" s="334"/>
      <c r="N350" s="334"/>
      <c r="O350" s="334"/>
      <c r="P350" s="334"/>
      <c r="Q350" s="334"/>
      <c r="R350" s="334"/>
      <c r="S350" s="334"/>
      <c r="T350" s="334"/>
      <c r="U350" s="334"/>
      <c r="V350" s="334"/>
      <c r="W350" s="334"/>
      <c r="X350" s="334"/>
      <c r="Y350" s="334"/>
      <c r="Z350" s="334"/>
      <c r="AA350" s="334"/>
      <c r="AB350" s="334"/>
      <c r="AC350" s="334"/>
      <c r="AD350" s="334"/>
      <c r="AE350" s="334"/>
      <c r="AF350" s="334"/>
      <c r="AG350" s="334"/>
      <c r="AH350" s="334"/>
      <c r="AI350" s="334"/>
      <c r="AJ350" s="334"/>
      <c r="AK350" s="334"/>
      <c r="AL350" s="334"/>
      <c r="AM350" s="334"/>
      <c r="AN350" s="334"/>
      <c r="AO350" s="334"/>
      <c r="AP350" s="334"/>
      <c r="AQ350" s="334"/>
      <c r="AR350" s="334"/>
      <c r="AS350" s="334"/>
      <c r="AT350" s="334"/>
      <c r="AU350" s="334"/>
    </row>
    <row r="351" spans="1:47" s="34" customFormat="1" ht="21" customHeight="1">
      <c r="A351" s="186"/>
      <c r="B351" s="83" t="s">
        <v>488</v>
      </c>
      <c r="C351" s="84" t="s">
        <v>446</v>
      </c>
      <c r="D351" s="645"/>
      <c r="E351" s="645"/>
      <c r="F351" s="645">
        <v>3000</v>
      </c>
      <c r="G351" s="645"/>
      <c r="H351" s="604"/>
      <c r="I351" s="334"/>
      <c r="J351" s="334"/>
      <c r="K351" s="598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334"/>
      <c r="Z351" s="334"/>
      <c r="AA351" s="334"/>
      <c r="AB351" s="334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</row>
    <row r="352" spans="1:47" s="3" customFormat="1" ht="21.75" customHeight="1">
      <c r="A352" s="621" t="s">
        <v>11</v>
      </c>
      <c r="B352" s="622"/>
      <c r="C352" s="85"/>
      <c r="D352" s="32">
        <f>D268+D269+D270+D273+D320+D324+D325</f>
        <v>182393.16999999998</v>
      </c>
      <c r="E352" s="32">
        <f>E268+E269+E270+E273+E320+E324+E325</f>
        <v>0</v>
      </c>
      <c r="F352" s="32">
        <f>F268+F269+F270+F273+F320+F324+F325</f>
        <v>155306.56</v>
      </c>
      <c r="G352" s="32">
        <f>G268+G269+G270+G273+G320+G324+G325</f>
        <v>0</v>
      </c>
      <c r="H352" s="20"/>
      <c r="I352" s="598"/>
      <c r="J352" s="598"/>
      <c r="K352" s="598"/>
      <c r="L352" s="598"/>
      <c r="M352" s="598"/>
      <c r="N352" s="598"/>
      <c r="O352" s="598"/>
      <c r="P352" s="598"/>
      <c r="Q352" s="598"/>
      <c r="R352" s="598"/>
      <c r="S352" s="598"/>
      <c r="T352" s="598"/>
      <c r="U352" s="598"/>
      <c r="V352" s="598"/>
      <c r="W352" s="598"/>
      <c r="X352" s="598"/>
      <c r="Y352" s="598"/>
      <c r="Z352" s="598"/>
      <c r="AA352" s="598"/>
      <c r="AB352" s="598"/>
      <c r="AC352" s="598"/>
      <c r="AD352" s="598"/>
      <c r="AE352" s="598"/>
      <c r="AF352" s="598"/>
      <c r="AG352" s="598"/>
      <c r="AH352" s="598"/>
      <c r="AI352" s="598"/>
      <c r="AJ352" s="598"/>
      <c r="AK352" s="598"/>
      <c r="AL352" s="598"/>
      <c r="AM352" s="598"/>
      <c r="AN352" s="598"/>
      <c r="AO352" s="598"/>
      <c r="AP352" s="598"/>
      <c r="AQ352" s="598"/>
      <c r="AR352" s="598"/>
      <c r="AS352" s="598"/>
      <c r="AT352" s="598"/>
      <c r="AU352" s="598"/>
    </row>
    <row r="353" spans="1:47" s="3" customFormat="1" ht="19.5" customHeight="1">
      <c r="A353" s="119"/>
      <c r="B353" s="120"/>
      <c r="C353" s="120"/>
      <c r="D353" s="27"/>
      <c r="E353" s="27"/>
      <c r="F353" s="27"/>
      <c r="G353" s="27"/>
      <c r="H353" s="20"/>
      <c r="I353" s="598"/>
      <c r="J353" s="598"/>
      <c r="K353" s="598"/>
      <c r="L353" s="598"/>
      <c r="M353" s="598"/>
      <c r="N353" s="598"/>
      <c r="O353" s="598"/>
      <c r="P353" s="598"/>
      <c r="Q353" s="598"/>
      <c r="R353" s="598"/>
      <c r="S353" s="598"/>
      <c r="T353" s="598"/>
      <c r="U353" s="598"/>
      <c r="V353" s="598"/>
      <c r="W353" s="598"/>
      <c r="X353" s="598"/>
      <c r="Y353" s="598"/>
      <c r="Z353" s="598"/>
      <c r="AA353" s="598"/>
      <c r="AB353" s="598"/>
      <c r="AC353" s="598"/>
      <c r="AD353" s="598"/>
      <c r="AE353" s="598"/>
      <c r="AF353" s="598"/>
      <c r="AG353" s="598"/>
      <c r="AH353" s="598"/>
      <c r="AI353" s="598"/>
      <c r="AJ353" s="598"/>
      <c r="AK353" s="598"/>
      <c r="AL353" s="598"/>
      <c r="AM353" s="598"/>
      <c r="AN353" s="598"/>
      <c r="AO353" s="598"/>
      <c r="AP353" s="598"/>
      <c r="AQ353" s="598"/>
      <c r="AR353" s="598"/>
      <c r="AS353" s="598"/>
      <c r="AT353" s="598"/>
      <c r="AU353" s="598"/>
    </row>
    <row r="354" spans="1:47" s="3" customFormat="1" ht="19.5" customHeight="1">
      <c r="A354" s="119"/>
      <c r="B354" s="120"/>
      <c r="C354" s="120"/>
      <c r="D354" s="27"/>
      <c r="E354" s="27"/>
      <c r="F354" s="27"/>
      <c r="G354" s="27"/>
      <c r="H354" s="20"/>
      <c r="I354" s="598"/>
      <c r="J354" s="598"/>
      <c r="K354" s="598"/>
      <c r="L354" s="598"/>
      <c r="M354" s="598"/>
      <c r="N354" s="598"/>
      <c r="O354" s="598"/>
      <c r="P354" s="598"/>
      <c r="Q354" s="598"/>
      <c r="R354" s="598"/>
      <c r="S354" s="598"/>
      <c r="T354" s="598"/>
      <c r="U354" s="598"/>
      <c r="V354" s="598"/>
      <c r="W354" s="598"/>
      <c r="X354" s="598"/>
      <c r="Y354" s="598"/>
      <c r="Z354" s="598"/>
      <c r="AA354" s="598"/>
      <c r="AB354" s="598"/>
      <c r="AC354" s="598"/>
      <c r="AD354" s="598"/>
      <c r="AE354" s="598"/>
      <c r="AF354" s="598"/>
      <c r="AG354" s="598"/>
      <c r="AH354" s="598"/>
      <c r="AI354" s="598"/>
      <c r="AJ354" s="598"/>
      <c r="AK354" s="598"/>
      <c r="AL354" s="598"/>
      <c r="AM354" s="598"/>
      <c r="AN354" s="598"/>
      <c r="AO354" s="598"/>
      <c r="AP354" s="598"/>
      <c r="AQ354" s="598"/>
      <c r="AR354" s="598"/>
      <c r="AS354" s="598"/>
      <c r="AT354" s="598"/>
      <c r="AU354" s="598"/>
    </row>
    <row r="355" spans="1:47" s="3" customFormat="1" ht="19.5" customHeight="1">
      <c r="A355" s="15" t="s">
        <v>526</v>
      </c>
      <c r="B355" s="15" t="s">
        <v>526</v>
      </c>
      <c r="C355" s="120"/>
      <c r="D355" s="120"/>
      <c r="E355" s="27"/>
      <c r="F355" s="27"/>
      <c r="G355" s="27"/>
      <c r="H355" s="27"/>
      <c r="I355" s="598"/>
      <c r="J355" s="598"/>
      <c r="K355" s="598"/>
      <c r="L355" s="598"/>
      <c r="M355" s="598"/>
      <c r="N355" s="598"/>
      <c r="O355" s="598"/>
      <c r="P355" s="598"/>
      <c r="Q355" s="598"/>
      <c r="R355" s="598"/>
      <c r="S355" s="598"/>
      <c r="T355" s="598"/>
      <c r="U355" s="598"/>
      <c r="V355" s="598"/>
      <c r="W355" s="598"/>
      <c r="X355" s="598"/>
      <c r="Y355" s="598"/>
      <c r="Z355" s="598"/>
      <c r="AA355" s="598"/>
      <c r="AB355" s="598"/>
      <c r="AC355" s="598"/>
      <c r="AD355" s="598"/>
      <c r="AE355" s="598"/>
      <c r="AF355" s="598"/>
      <c r="AG355" s="598"/>
      <c r="AH355" s="598"/>
      <c r="AI355" s="598"/>
      <c r="AJ355" s="598"/>
      <c r="AK355" s="598"/>
      <c r="AL355" s="598"/>
      <c r="AM355" s="598"/>
      <c r="AN355" s="598"/>
      <c r="AO355" s="598"/>
      <c r="AP355" s="598"/>
      <c r="AQ355" s="598"/>
      <c r="AR355" s="598"/>
      <c r="AS355" s="598"/>
      <c r="AT355" s="598"/>
      <c r="AU355" s="598"/>
    </row>
    <row r="356" spans="1:47" s="3" customFormat="1" ht="19.5" customHeight="1">
      <c r="A356" s="15"/>
      <c r="B356" s="15"/>
      <c r="C356" s="120"/>
      <c r="D356" s="120"/>
      <c r="E356" s="27"/>
      <c r="F356" s="27"/>
      <c r="G356" s="27"/>
      <c r="H356" s="27"/>
      <c r="I356" s="598"/>
      <c r="J356" s="598"/>
      <c r="K356" s="598"/>
      <c r="L356" s="598"/>
      <c r="M356" s="598"/>
      <c r="N356" s="598"/>
      <c r="O356" s="598"/>
      <c r="P356" s="598"/>
      <c r="Q356" s="598"/>
      <c r="R356" s="598"/>
      <c r="S356" s="598"/>
      <c r="T356" s="598"/>
      <c r="U356" s="598"/>
      <c r="V356" s="598"/>
      <c r="W356" s="598"/>
      <c r="X356" s="598"/>
      <c r="Y356" s="598"/>
      <c r="Z356" s="598"/>
      <c r="AA356" s="598"/>
      <c r="AB356" s="598"/>
      <c r="AC356" s="598"/>
      <c r="AD356" s="598"/>
      <c r="AE356" s="598"/>
      <c r="AF356" s="598"/>
      <c r="AG356" s="598"/>
      <c r="AH356" s="598"/>
      <c r="AI356" s="598"/>
      <c r="AJ356" s="598"/>
      <c r="AK356" s="598"/>
      <c r="AL356" s="598"/>
      <c r="AM356" s="598"/>
      <c r="AN356" s="598"/>
      <c r="AO356" s="598"/>
      <c r="AP356" s="598"/>
      <c r="AQ356" s="598"/>
      <c r="AR356" s="598"/>
      <c r="AS356" s="598"/>
      <c r="AT356" s="598"/>
      <c r="AU356" s="598"/>
    </row>
    <row r="357" spans="1:47" s="3" customFormat="1" ht="19.5" customHeight="1">
      <c r="A357" s="655" t="s">
        <v>521</v>
      </c>
      <c r="B357" s="655" t="s">
        <v>521</v>
      </c>
      <c r="C357" s="120"/>
      <c r="D357" s="120"/>
      <c r="E357" s="27"/>
      <c r="F357" s="27"/>
      <c r="G357" s="27"/>
      <c r="H357" s="27"/>
      <c r="I357" s="598"/>
      <c r="J357" s="598"/>
      <c r="K357" s="598"/>
      <c r="L357" s="598"/>
      <c r="M357" s="598"/>
      <c r="N357" s="598"/>
      <c r="O357" s="598"/>
      <c r="P357" s="598"/>
      <c r="Q357" s="598"/>
      <c r="R357" s="598"/>
      <c r="S357" s="598"/>
      <c r="T357" s="598"/>
      <c r="U357" s="598"/>
      <c r="V357" s="598"/>
      <c r="W357" s="598"/>
      <c r="X357" s="598"/>
      <c r="Y357" s="598"/>
      <c r="Z357" s="598"/>
      <c r="AA357" s="598"/>
      <c r="AB357" s="598"/>
      <c r="AC357" s="598"/>
      <c r="AD357" s="598"/>
      <c r="AE357" s="598"/>
      <c r="AF357" s="598"/>
      <c r="AG357" s="598"/>
      <c r="AH357" s="598"/>
      <c r="AI357" s="598"/>
      <c r="AJ357" s="598"/>
      <c r="AK357" s="598"/>
      <c r="AL357" s="598"/>
      <c r="AM357" s="598"/>
      <c r="AN357" s="598"/>
      <c r="AO357" s="598"/>
      <c r="AP357" s="598"/>
      <c r="AQ357" s="598"/>
      <c r="AR357" s="598"/>
      <c r="AS357" s="598"/>
      <c r="AT357" s="598"/>
      <c r="AU357" s="598"/>
    </row>
    <row r="358" spans="1:47" s="3" customFormat="1" ht="19.5" customHeight="1">
      <c r="A358" s="655" t="s">
        <v>522</v>
      </c>
      <c r="B358" s="655" t="s">
        <v>522</v>
      </c>
      <c r="C358" s="120"/>
      <c r="D358" s="120"/>
      <c r="E358" s="27"/>
      <c r="F358" s="27"/>
      <c r="G358" s="27"/>
      <c r="H358" s="27"/>
      <c r="I358" s="598"/>
      <c r="J358" s="598"/>
      <c r="K358" s="598"/>
      <c r="L358" s="598"/>
      <c r="M358" s="598"/>
      <c r="N358" s="598"/>
      <c r="O358" s="598"/>
      <c r="P358" s="598"/>
      <c r="Q358" s="598"/>
      <c r="R358" s="598"/>
      <c r="S358" s="598"/>
      <c r="T358" s="598"/>
      <c r="U358" s="598"/>
      <c r="V358" s="598"/>
      <c r="W358" s="598"/>
      <c r="X358" s="598"/>
      <c r="Y358" s="598"/>
      <c r="Z358" s="598"/>
      <c r="AA358" s="598"/>
      <c r="AB358" s="598"/>
      <c r="AC358" s="598"/>
      <c r="AD358" s="598"/>
      <c r="AE358" s="598"/>
      <c r="AF358" s="598"/>
      <c r="AG358" s="598"/>
      <c r="AH358" s="598"/>
      <c r="AI358" s="598"/>
      <c r="AJ358" s="598"/>
      <c r="AK358" s="598"/>
      <c r="AL358" s="598"/>
      <c r="AM358" s="598"/>
      <c r="AN358" s="598"/>
      <c r="AO358" s="598"/>
      <c r="AP358" s="598"/>
      <c r="AQ358" s="598"/>
      <c r="AR358" s="598"/>
      <c r="AS358" s="598"/>
      <c r="AT358" s="598"/>
      <c r="AU358" s="598"/>
    </row>
    <row r="359" spans="1:47" s="3" customFormat="1" ht="19.5" customHeight="1">
      <c r="A359" s="656" t="s">
        <v>523</v>
      </c>
      <c r="B359" s="656" t="s">
        <v>523</v>
      </c>
      <c r="C359" s="657"/>
      <c r="D359" s="657"/>
      <c r="E359" s="658"/>
      <c r="F359" s="659">
        <f>2722016-35000-156000+20024.23</f>
        <v>2551040.23</v>
      </c>
      <c r="G359" s="659" t="s">
        <v>524</v>
      </c>
      <c r="H359" s="659"/>
      <c r="I359" s="598"/>
      <c r="J359" s="598"/>
      <c r="K359" s="598"/>
      <c r="L359" s="598"/>
      <c r="M359" s="598"/>
      <c r="N359" s="598"/>
      <c r="O359" s="598"/>
      <c r="P359" s="598"/>
      <c r="Q359" s="598"/>
      <c r="R359" s="598"/>
      <c r="S359" s="598"/>
      <c r="T359" s="598"/>
      <c r="U359" s="598"/>
      <c r="V359" s="598"/>
      <c r="W359" s="598"/>
      <c r="X359" s="598"/>
      <c r="Y359" s="598"/>
      <c r="Z359" s="598"/>
      <c r="AA359" s="598"/>
      <c r="AB359" s="598"/>
      <c r="AC359" s="598"/>
      <c r="AD359" s="598"/>
      <c r="AE359" s="598"/>
      <c r="AF359" s="598"/>
      <c r="AG359" s="598"/>
      <c r="AH359" s="598"/>
      <c r="AI359" s="598"/>
      <c r="AJ359" s="598"/>
      <c r="AK359" s="598"/>
      <c r="AL359" s="598"/>
      <c r="AM359" s="598"/>
      <c r="AN359" s="598"/>
      <c r="AO359" s="598"/>
      <c r="AP359" s="598"/>
      <c r="AQ359" s="598"/>
      <c r="AR359" s="598"/>
      <c r="AS359" s="598"/>
      <c r="AT359" s="598"/>
      <c r="AU359" s="598"/>
    </row>
    <row r="360" spans="1:47" s="3" customFormat="1" ht="19.5" customHeight="1">
      <c r="A360" s="656" t="s">
        <v>525</v>
      </c>
      <c r="B360" s="656" t="s">
        <v>525</v>
      </c>
      <c r="C360" s="657"/>
      <c r="D360" s="657"/>
      <c r="E360" s="658"/>
      <c r="F360" s="659">
        <f>6277984+35000+156000+473012.76+492042.73+634944.51+150000-55903.03+200000+20000-20024.23</f>
        <v>8363056.739999999</v>
      </c>
      <c r="G360" s="659" t="s">
        <v>527</v>
      </c>
      <c r="H360" s="659"/>
      <c r="I360" s="598"/>
      <c r="J360" s="598"/>
      <c r="K360" s="598"/>
      <c r="L360" s="598"/>
      <c r="M360" s="598"/>
      <c r="N360" s="598"/>
      <c r="O360" s="598"/>
      <c r="P360" s="598"/>
      <c r="Q360" s="598"/>
      <c r="R360" s="598"/>
      <c r="S360" s="598"/>
      <c r="T360" s="598"/>
      <c r="U360" s="598"/>
      <c r="V360" s="598"/>
      <c r="W360" s="598"/>
      <c r="X360" s="598"/>
      <c r="Y360" s="598"/>
      <c r="Z360" s="598"/>
      <c r="AA360" s="598"/>
      <c r="AB360" s="598"/>
      <c r="AC360" s="598"/>
      <c r="AD360" s="598"/>
      <c r="AE360" s="598"/>
      <c r="AF360" s="598"/>
      <c r="AG360" s="598"/>
      <c r="AH360" s="598"/>
      <c r="AI360" s="598"/>
      <c r="AJ360" s="598"/>
      <c r="AK360" s="598"/>
      <c r="AL360" s="598"/>
      <c r="AM360" s="598"/>
      <c r="AN360" s="598"/>
      <c r="AO360" s="598"/>
      <c r="AP360" s="598"/>
      <c r="AQ360" s="598"/>
      <c r="AR360" s="598"/>
      <c r="AS360" s="598"/>
      <c r="AT360" s="598"/>
      <c r="AU360" s="598"/>
    </row>
    <row r="361" spans="1:47" s="3" customFormat="1" ht="19.5" customHeight="1">
      <c r="A361" s="119"/>
      <c r="B361" s="119"/>
      <c r="C361" s="120"/>
      <c r="D361" s="120"/>
      <c r="E361" s="27"/>
      <c r="F361" s="27"/>
      <c r="G361" s="27"/>
      <c r="H361" s="27"/>
      <c r="I361" s="598"/>
      <c r="J361" s="598"/>
      <c r="K361" s="598"/>
      <c r="L361" s="598"/>
      <c r="M361" s="598"/>
      <c r="N361" s="598"/>
      <c r="O361" s="598"/>
      <c r="P361" s="598"/>
      <c r="Q361" s="598"/>
      <c r="R361" s="598"/>
      <c r="S361" s="598"/>
      <c r="T361" s="598"/>
      <c r="U361" s="598"/>
      <c r="V361" s="598"/>
      <c r="W361" s="598"/>
      <c r="X361" s="598"/>
      <c r="Y361" s="598"/>
      <c r="Z361" s="598"/>
      <c r="AA361" s="598"/>
      <c r="AB361" s="598"/>
      <c r="AC361" s="598"/>
      <c r="AD361" s="598"/>
      <c r="AE361" s="598"/>
      <c r="AF361" s="598"/>
      <c r="AG361" s="598"/>
      <c r="AH361" s="598"/>
      <c r="AI361" s="598"/>
      <c r="AJ361" s="598"/>
      <c r="AK361" s="598"/>
      <c r="AL361" s="598"/>
      <c r="AM361" s="598"/>
      <c r="AN361" s="598"/>
      <c r="AO361" s="598"/>
      <c r="AP361" s="598"/>
      <c r="AQ361" s="598"/>
      <c r="AR361" s="598"/>
      <c r="AS361" s="598"/>
      <c r="AT361" s="598"/>
      <c r="AU361" s="598"/>
    </row>
    <row r="362" spans="1:47" s="3" customFormat="1" ht="19.5" customHeight="1">
      <c r="A362" s="119"/>
      <c r="B362" s="120"/>
      <c r="C362" s="120"/>
      <c r="D362" s="27"/>
      <c r="E362" s="27"/>
      <c r="F362" s="27"/>
      <c r="G362" s="27"/>
      <c r="H362" s="20"/>
      <c r="I362" s="598"/>
      <c r="J362" s="598"/>
      <c r="K362" s="598"/>
      <c r="L362" s="598"/>
      <c r="M362" s="598"/>
      <c r="N362" s="598"/>
      <c r="O362" s="598"/>
      <c r="P362" s="598"/>
      <c r="Q362" s="598"/>
      <c r="R362" s="598"/>
      <c r="S362" s="598"/>
      <c r="T362" s="598"/>
      <c r="U362" s="598"/>
      <c r="V362" s="598"/>
      <c r="W362" s="598"/>
      <c r="X362" s="598"/>
      <c r="Y362" s="598"/>
      <c r="Z362" s="598"/>
      <c r="AA362" s="598"/>
      <c r="AB362" s="598"/>
      <c r="AC362" s="598"/>
      <c r="AD362" s="598"/>
      <c r="AE362" s="598"/>
      <c r="AF362" s="598"/>
      <c r="AG362" s="598"/>
      <c r="AH362" s="598"/>
      <c r="AI362" s="598"/>
      <c r="AJ362" s="598"/>
      <c r="AK362" s="598"/>
      <c r="AL362" s="598"/>
      <c r="AM362" s="598"/>
      <c r="AN362" s="598"/>
      <c r="AO362" s="598"/>
      <c r="AP362" s="598"/>
      <c r="AQ362" s="598"/>
      <c r="AR362" s="598"/>
      <c r="AS362" s="598"/>
      <c r="AT362" s="598"/>
      <c r="AU362" s="598"/>
    </row>
    <row r="363" spans="1:47" s="3" customFormat="1" ht="21.75" customHeight="1">
      <c r="A363" s="50" t="s">
        <v>528</v>
      </c>
      <c r="B363" s="120"/>
      <c r="C363" s="100"/>
      <c r="D363" s="111"/>
      <c r="E363" s="16"/>
      <c r="F363" s="111"/>
      <c r="G363" s="27"/>
      <c r="H363" s="20"/>
      <c r="I363" s="598"/>
      <c r="J363" s="598"/>
      <c r="K363" s="598"/>
      <c r="L363" s="598"/>
      <c r="M363" s="598"/>
      <c r="N363" s="598"/>
      <c r="O363" s="598"/>
      <c r="P363" s="598"/>
      <c r="Q363" s="598"/>
      <c r="R363" s="598"/>
      <c r="S363" s="598"/>
      <c r="T363" s="598"/>
      <c r="U363" s="598"/>
      <c r="V363" s="598"/>
      <c r="W363" s="598"/>
      <c r="X363" s="598"/>
      <c r="Y363" s="598"/>
      <c r="Z363" s="598"/>
      <c r="AA363" s="598"/>
      <c r="AB363" s="598"/>
      <c r="AC363" s="598"/>
      <c r="AD363" s="598"/>
      <c r="AE363" s="598"/>
      <c r="AF363" s="598"/>
      <c r="AG363" s="598"/>
      <c r="AH363" s="598"/>
      <c r="AI363" s="598"/>
      <c r="AJ363" s="598"/>
      <c r="AK363" s="598"/>
      <c r="AL363" s="598"/>
      <c r="AM363" s="598"/>
      <c r="AN363" s="598"/>
      <c r="AO363" s="598"/>
      <c r="AP363" s="598"/>
      <c r="AQ363" s="598"/>
      <c r="AR363" s="598"/>
      <c r="AS363" s="598"/>
      <c r="AT363" s="598"/>
      <c r="AU363" s="598"/>
    </row>
    <row r="364" spans="1:47" s="3" customFormat="1" ht="16.5" customHeight="1">
      <c r="A364" s="50"/>
      <c r="B364" s="120"/>
      <c r="C364" s="100"/>
      <c r="D364" s="111"/>
      <c r="E364" s="16"/>
      <c r="F364" s="111"/>
      <c r="G364" s="27"/>
      <c r="H364" s="20"/>
      <c r="I364" s="598"/>
      <c r="J364" s="598"/>
      <c r="K364" s="598"/>
      <c r="L364" s="598"/>
      <c r="M364" s="598"/>
      <c r="N364" s="598"/>
      <c r="O364" s="598"/>
      <c r="P364" s="598"/>
      <c r="Q364" s="598"/>
      <c r="R364" s="598"/>
      <c r="S364" s="598"/>
      <c r="T364" s="598"/>
      <c r="U364" s="598"/>
      <c r="V364" s="598"/>
      <c r="W364" s="598"/>
      <c r="X364" s="598"/>
      <c r="Y364" s="598"/>
      <c r="Z364" s="598"/>
      <c r="AA364" s="598"/>
      <c r="AB364" s="598"/>
      <c r="AC364" s="598"/>
      <c r="AD364" s="598"/>
      <c r="AE364" s="598"/>
      <c r="AF364" s="598"/>
      <c r="AG364" s="598"/>
      <c r="AH364" s="598"/>
      <c r="AI364" s="598"/>
      <c r="AJ364" s="598"/>
      <c r="AK364" s="598"/>
      <c r="AL364" s="598"/>
      <c r="AM364" s="598"/>
      <c r="AN364" s="598"/>
      <c r="AO364" s="598"/>
      <c r="AP364" s="598"/>
      <c r="AQ364" s="598"/>
      <c r="AR364" s="598"/>
      <c r="AS364" s="598"/>
      <c r="AT364" s="598"/>
      <c r="AU364" s="598"/>
    </row>
    <row r="365" spans="1:47" s="3" customFormat="1" ht="15.75" customHeight="1">
      <c r="A365" s="50"/>
      <c r="B365" s="120"/>
      <c r="C365" s="100"/>
      <c r="D365" s="16"/>
      <c r="E365" s="16"/>
      <c r="F365" s="27"/>
      <c r="G365" s="27"/>
      <c r="H365" s="20"/>
      <c r="I365" s="598"/>
      <c r="J365" s="598"/>
      <c r="K365" s="598"/>
      <c r="L365" s="598"/>
      <c r="M365" s="598"/>
      <c r="N365" s="598"/>
      <c r="O365" s="598"/>
      <c r="P365" s="598"/>
      <c r="Q365" s="598"/>
      <c r="R365" s="598"/>
      <c r="S365" s="598"/>
      <c r="T365" s="598"/>
      <c r="U365" s="598"/>
      <c r="V365" s="598"/>
      <c r="W365" s="598"/>
      <c r="X365" s="598"/>
      <c r="Y365" s="598"/>
      <c r="Z365" s="598"/>
      <c r="AA365" s="598"/>
      <c r="AB365" s="598"/>
      <c r="AC365" s="598"/>
      <c r="AD365" s="598"/>
      <c r="AE365" s="598"/>
      <c r="AF365" s="598"/>
      <c r="AG365" s="598"/>
      <c r="AH365" s="598"/>
      <c r="AI365" s="598"/>
      <c r="AJ365" s="598"/>
      <c r="AK365" s="598"/>
      <c r="AL365" s="598"/>
      <c r="AM365" s="598"/>
      <c r="AN365" s="598"/>
      <c r="AO365" s="598"/>
      <c r="AP365" s="598"/>
      <c r="AQ365" s="598"/>
      <c r="AR365" s="598"/>
      <c r="AS365" s="598"/>
      <c r="AT365" s="598"/>
      <c r="AU365" s="598"/>
    </row>
    <row r="366" spans="1:47" s="3" customFormat="1" ht="18.75" customHeight="1">
      <c r="A366" s="131" t="s">
        <v>37</v>
      </c>
      <c r="B366" s="99"/>
      <c r="C366" s="100"/>
      <c r="D366" s="16"/>
      <c r="E366" s="16"/>
      <c r="F366" s="27"/>
      <c r="G366" s="27"/>
      <c r="H366" s="20"/>
      <c r="I366" s="598"/>
      <c r="J366" s="598"/>
      <c r="K366" s="598"/>
      <c r="L366" s="598"/>
      <c r="M366" s="598"/>
      <c r="N366" s="598"/>
      <c r="O366" s="598"/>
      <c r="P366" s="598"/>
      <c r="Q366" s="598"/>
      <c r="R366" s="598"/>
      <c r="S366" s="598"/>
      <c r="T366" s="598"/>
      <c r="U366" s="598"/>
      <c r="V366" s="598"/>
      <c r="W366" s="598"/>
      <c r="X366" s="598"/>
      <c r="Y366" s="598"/>
      <c r="Z366" s="598"/>
      <c r="AA366" s="598"/>
      <c r="AB366" s="598"/>
      <c r="AC366" s="598"/>
      <c r="AD366" s="598"/>
      <c r="AE366" s="598"/>
      <c r="AF366" s="598"/>
      <c r="AG366" s="598"/>
      <c r="AH366" s="598"/>
      <c r="AI366" s="598"/>
      <c r="AJ366" s="598"/>
      <c r="AK366" s="598"/>
      <c r="AL366" s="598"/>
      <c r="AM366" s="598"/>
      <c r="AN366" s="598"/>
      <c r="AO366" s="598"/>
      <c r="AP366" s="598"/>
      <c r="AQ366" s="598"/>
      <c r="AR366" s="598"/>
      <c r="AS366" s="598"/>
      <c r="AT366" s="598"/>
      <c r="AU366" s="598"/>
    </row>
    <row r="367" spans="1:47" s="3" customFormat="1" ht="21" customHeight="1">
      <c r="A367" s="132" t="s">
        <v>288</v>
      </c>
      <c r="B367" s="99"/>
      <c r="C367" s="133"/>
      <c r="D367" s="22"/>
      <c r="E367" s="16"/>
      <c r="F367" s="27"/>
      <c r="G367" s="27"/>
      <c r="H367" s="20"/>
      <c r="I367" s="598"/>
      <c r="J367" s="598"/>
      <c r="K367" s="598"/>
      <c r="L367" s="598"/>
      <c r="M367" s="598"/>
      <c r="N367" s="598"/>
      <c r="O367" s="598"/>
      <c r="P367" s="598"/>
      <c r="Q367" s="598"/>
      <c r="R367" s="598"/>
      <c r="S367" s="598"/>
      <c r="T367" s="598"/>
      <c r="U367" s="598"/>
      <c r="V367" s="598"/>
      <c r="W367" s="598"/>
      <c r="X367" s="598"/>
      <c r="Y367" s="598"/>
      <c r="Z367" s="598"/>
      <c r="AA367" s="598"/>
      <c r="AB367" s="598"/>
      <c r="AC367" s="598"/>
      <c r="AD367" s="598"/>
      <c r="AE367" s="598"/>
      <c r="AF367" s="598"/>
      <c r="AG367" s="598"/>
      <c r="AH367" s="598"/>
      <c r="AI367" s="598"/>
      <c r="AJ367" s="598"/>
      <c r="AK367" s="598"/>
      <c r="AL367" s="598"/>
      <c r="AM367" s="598"/>
      <c r="AN367" s="598"/>
      <c r="AO367" s="598"/>
      <c r="AP367" s="598"/>
      <c r="AQ367" s="598"/>
      <c r="AR367" s="598"/>
      <c r="AS367" s="598"/>
      <c r="AT367" s="598"/>
      <c r="AU367" s="598"/>
    </row>
    <row r="368" spans="1:47" s="3" customFormat="1" ht="21" customHeight="1">
      <c r="A368" s="132"/>
      <c r="B368" s="99"/>
      <c r="C368" s="133"/>
      <c r="D368" s="22"/>
      <c r="E368" s="16"/>
      <c r="F368" s="27"/>
      <c r="G368" s="27"/>
      <c r="H368" s="20"/>
      <c r="I368" s="598"/>
      <c r="J368" s="598"/>
      <c r="K368" s="598"/>
      <c r="L368" s="598"/>
      <c r="M368" s="598"/>
      <c r="N368" s="598"/>
      <c r="O368" s="598"/>
      <c r="P368" s="598"/>
      <c r="Q368" s="598"/>
      <c r="R368" s="598"/>
      <c r="S368" s="598"/>
      <c r="T368" s="598"/>
      <c r="U368" s="598"/>
      <c r="V368" s="598"/>
      <c r="W368" s="598"/>
      <c r="X368" s="598"/>
      <c r="Y368" s="598"/>
      <c r="Z368" s="598"/>
      <c r="AA368" s="598"/>
      <c r="AB368" s="598"/>
      <c r="AC368" s="598"/>
      <c r="AD368" s="598"/>
      <c r="AE368" s="598"/>
      <c r="AF368" s="598"/>
      <c r="AG368" s="598"/>
      <c r="AH368" s="598"/>
      <c r="AI368" s="598"/>
      <c r="AJ368" s="598"/>
      <c r="AK368" s="598"/>
      <c r="AL368" s="598"/>
      <c r="AM368" s="598"/>
      <c r="AN368" s="598"/>
      <c r="AO368" s="598"/>
      <c r="AP368" s="598"/>
      <c r="AQ368" s="598"/>
      <c r="AR368" s="598"/>
      <c r="AS368" s="598"/>
      <c r="AT368" s="598"/>
      <c r="AU368" s="598"/>
    </row>
    <row r="369" spans="1:47" s="3" customFormat="1" ht="16.5" customHeight="1">
      <c r="A369" s="134" t="s">
        <v>38</v>
      </c>
      <c r="B369" s="137"/>
      <c r="C369" s="138"/>
      <c r="D369" s="22"/>
      <c r="E369" s="16"/>
      <c r="F369" s="27"/>
      <c r="G369" s="27"/>
      <c r="H369" s="36"/>
      <c r="I369" s="598"/>
      <c r="J369" s="598"/>
      <c r="K369" s="598"/>
      <c r="L369" s="598"/>
      <c r="M369" s="598"/>
      <c r="N369" s="598"/>
      <c r="O369" s="598"/>
      <c r="P369" s="598"/>
      <c r="Q369" s="598"/>
      <c r="R369" s="598"/>
      <c r="S369" s="598"/>
      <c r="T369" s="598"/>
      <c r="U369" s="598"/>
      <c r="V369" s="598"/>
      <c r="W369" s="598"/>
      <c r="X369" s="598"/>
      <c r="Y369" s="598"/>
      <c r="Z369" s="598"/>
      <c r="AA369" s="598"/>
      <c r="AB369" s="598"/>
      <c r="AC369" s="598"/>
      <c r="AD369" s="598"/>
      <c r="AE369" s="598"/>
      <c r="AF369" s="598"/>
      <c r="AG369" s="598"/>
      <c r="AH369" s="598"/>
      <c r="AI369" s="598"/>
      <c r="AJ369" s="598"/>
      <c r="AK369" s="598"/>
      <c r="AL369" s="598"/>
      <c r="AM369" s="598"/>
      <c r="AN369" s="598"/>
      <c r="AO369" s="598"/>
      <c r="AP369" s="598"/>
      <c r="AQ369" s="598"/>
      <c r="AR369" s="598"/>
      <c r="AS369" s="598"/>
      <c r="AT369" s="598"/>
      <c r="AU369" s="598"/>
    </row>
    <row r="370" spans="1:47" s="3" customFormat="1" ht="16.5" customHeight="1">
      <c r="A370" s="134"/>
      <c r="B370" s="137"/>
      <c r="C370" s="138"/>
      <c r="D370" s="22"/>
      <c r="E370" s="16"/>
      <c r="F370" s="27"/>
      <c r="G370" s="27"/>
      <c r="H370" s="36"/>
      <c r="I370" s="598"/>
      <c r="J370" s="598"/>
      <c r="K370" s="598"/>
      <c r="L370" s="598"/>
      <c r="M370" s="598"/>
      <c r="N370" s="598"/>
      <c r="O370" s="598"/>
      <c r="P370" s="598"/>
      <c r="Q370" s="598"/>
      <c r="R370" s="598"/>
      <c r="S370" s="598"/>
      <c r="T370" s="598"/>
      <c r="U370" s="598"/>
      <c r="V370" s="598"/>
      <c r="W370" s="598"/>
      <c r="X370" s="598"/>
      <c r="Y370" s="598"/>
      <c r="Z370" s="598"/>
      <c r="AA370" s="598"/>
      <c r="AB370" s="598"/>
      <c r="AC370" s="598"/>
      <c r="AD370" s="598"/>
      <c r="AE370" s="598"/>
      <c r="AF370" s="598"/>
      <c r="AG370" s="598"/>
      <c r="AH370" s="598"/>
      <c r="AI370" s="598"/>
      <c r="AJ370" s="598"/>
      <c r="AK370" s="598"/>
      <c r="AL370" s="598"/>
      <c r="AM370" s="598"/>
      <c r="AN370" s="598"/>
      <c r="AO370" s="598"/>
      <c r="AP370" s="598"/>
      <c r="AQ370" s="598"/>
      <c r="AR370" s="598"/>
      <c r="AS370" s="598"/>
      <c r="AT370" s="598"/>
      <c r="AU370" s="598"/>
    </row>
    <row r="371" spans="1:47" s="3" customFormat="1" ht="16.5" customHeight="1">
      <c r="A371" s="134" t="s">
        <v>406</v>
      </c>
      <c r="B371" s="135"/>
      <c r="C371" s="138"/>
      <c r="D371" s="22"/>
      <c r="E371" s="16"/>
      <c r="F371" s="27"/>
      <c r="G371" s="27"/>
      <c r="H371" s="37">
        <f>H373</f>
        <v>70175.89</v>
      </c>
      <c r="I371" s="598"/>
      <c r="J371" s="598"/>
      <c r="K371" s="598"/>
      <c r="L371" s="598"/>
      <c r="M371" s="598"/>
      <c r="N371" s="598"/>
      <c r="O371" s="598"/>
      <c r="P371" s="598"/>
      <c r="Q371" s="598"/>
      <c r="R371" s="598"/>
      <c r="S371" s="598"/>
      <c r="T371" s="598"/>
      <c r="U371" s="598"/>
      <c r="V371" s="598"/>
      <c r="W371" s="598"/>
      <c r="X371" s="598"/>
      <c r="Y371" s="598"/>
      <c r="Z371" s="598"/>
      <c r="AA371" s="598"/>
      <c r="AB371" s="598"/>
      <c r="AC371" s="598"/>
      <c r="AD371" s="598"/>
      <c r="AE371" s="598"/>
      <c r="AF371" s="598"/>
      <c r="AG371" s="598"/>
      <c r="AH371" s="598"/>
      <c r="AI371" s="598"/>
      <c r="AJ371" s="598"/>
      <c r="AK371" s="598"/>
      <c r="AL371" s="598"/>
      <c r="AM371" s="598"/>
      <c r="AN371" s="598"/>
      <c r="AO371" s="598"/>
      <c r="AP371" s="598"/>
      <c r="AQ371" s="598"/>
      <c r="AR371" s="598"/>
      <c r="AS371" s="598"/>
      <c r="AT371" s="598"/>
      <c r="AU371" s="598"/>
    </row>
    <row r="372" spans="1:47" s="3" customFormat="1" ht="16.5" customHeight="1">
      <c r="A372" s="610" t="s">
        <v>4</v>
      </c>
      <c r="B372" s="135"/>
      <c r="C372" s="138"/>
      <c r="D372" s="22"/>
      <c r="E372" s="16"/>
      <c r="F372" s="27"/>
      <c r="G372" s="27"/>
      <c r="H372" s="36"/>
      <c r="I372" s="598"/>
      <c r="J372" s="598"/>
      <c r="K372" s="598"/>
      <c r="L372" s="598"/>
      <c r="M372" s="598"/>
      <c r="N372" s="598"/>
      <c r="O372" s="598"/>
      <c r="P372" s="598"/>
      <c r="Q372" s="598"/>
      <c r="R372" s="598"/>
      <c r="S372" s="598"/>
      <c r="T372" s="598"/>
      <c r="U372" s="598"/>
      <c r="V372" s="598"/>
      <c r="W372" s="598"/>
      <c r="X372" s="598"/>
      <c r="Y372" s="598"/>
      <c r="Z372" s="598"/>
      <c r="AA372" s="598"/>
      <c r="AB372" s="598"/>
      <c r="AC372" s="598"/>
      <c r="AD372" s="598"/>
      <c r="AE372" s="598"/>
      <c r="AF372" s="598"/>
      <c r="AG372" s="598"/>
      <c r="AH372" s="598"/>
      <c r="AI372" s="598"/>
      <c r="AJ372" s="598"/>
      <c r="AK372" s="598"/>
      <c r="AL372" s="598"/>
      <c r="AM372" s="598"/>
      <c r="AN372" s="598"/>
      <c r="AO372" s="598"/>
      <c r="AP372" s="598"/>
      <c r="AQ372" s="598"/>
      <c r="AR372" s="598"/>
      <c r="AS372" s="598"/>
      <c r="AT372" s="598"/>
      <c r="AU372" s="598"/>
    </row>
    <row r="373" spans="1:47" s="3" customFormat="1" ht="16.5" customHeight="1">
      <c r="A373" s="101" t="s">
        <v>437</v>
      </c>
      <c r="B373" s="131"/>
      <c r="C373" s="138"/>
      <c r="D373" s="22"/>
      <c r="E373" s="16"/>
      <c r="F373" s="27"/>
      <c r="G373" s="27"/>
      <c r="H373" s="25">
        <f>H376+H379+H382</f>
        <v>70175.89</v>
      </c>
      <c r="I373" s="598"/>
      <c r="J373" s="598"/>
      <c r="K373" s="598"/>
      <c r="L373" s="598"/>
      <c r="M373" s="598"/>
      <c r="N373" s="598"/>
      <c r="O373" s="598"/>
      <c r="P373" s="598"/>
      <c r="Q373" s="598"/>
      <c r="R373" s="598"/>
      <c r="S373" s="598"/>
      <c r="T373" s="598"/>
      <c r="U373" s="598"/>
      <c r="V373" s="598"/>
      <c r="W373" s="598"/>
      <c r="X373" s="598"/>
      <c r="Y373" s="598"/>
      <c r="Z373" s="598"/>
      <c r="AA373" s="598"/>
      <c r="AB373" s="598"/>
      <c r="AC373" s="598"/>
      <c r="AD373" s="598"/>
      <c r="AE373" s="598"/>
      <c r="AF373" s="598"/>
      <c r="AG373" s="598"/>
      <c r="AH373" s="598"/>
      <c r="AI373" s="598"/>
      <c r="AJ373" s="598"/>
      <c r="AK373" s="598"/>
      <c r="AL373" s="598"/>
      <c r="AM373" s="598"/>
      <c r="AN373" s="598"/>
      <c r="AO373" s="598"/>
      <c r="AP373" s="598"/>
      <c r="AQ373" s="598"/>
      <c r="AR373" s="598"/>
      <c r="AS373" s="598"/>
      <c r="AT373" s="598"/>
      <c r="AU373" s="598"/>
    </row>
    <row r="374" spans="1:47" s="3" customFormat="1" ht="16.5" customHeight="1">
      <c r="A374" s="101" t="s">
        <v>4</v>
      </c>
      <c r="B374" s="131"/>
      <c r="C374" s="138"/>
      <c r="D374" s="22"/>
      <c r="E374" s="16"/>
      <c r="F374" s="27"/>
      <c r="G374" s="27"/>
      <c r="H374" s="36"/>
      <c r="I374" s="598"/>
      <c r="J374" s="598"/>
      <c r="K374" s="598"/>
      <c r="L374" s="598"/>
      <c r="M374" s="598"/>
      <c r="N374" s="598"/>
      <c r="O374" s="598"/>
      <c r="P374" s="598"/>
      <c r="Q374" s="598"/>
      <c r="R374" s="598"/>
      <c r="S374" s="598"/>
      <c r="T374" s="598"/>
      <c r="U374" s="598"/>
      <c r="V374" s="598"/>
      <c r="W374" s="598"/>
      <c r="X374" s="598"/>
      <c r="Y374" s="598"/>
      <c r="Z374" s="598"/>
      <c r="AA374" s="598"/>
      <c r="AB374" s="598"/>
      <c r="AC374" s="598"/>
      <c r="AD374" s="598"/>
      <c r="AE374" s="598"/>
      <c r="AF374" s="598"/>
      <c r="AG374" s="598"/>
      <c r="AH374" s="598"/>
      <c r="AI374" s="598"/>
      <c r="AJ374" s="598"/>
      <c r="AK374" s="598"/>
      <c r="AL374" s="598"/>
      <c r="AM374" s="598"/>
      <c r="AN374" s="598"/>
      <c r="AO374" s="598"/>
      <c r="AP374" s="598"/>
      <c r="AQ374" s="598"/>
      <c r="AR374" s="598"/>
      <c r="AS374" s="598"/>
      <c r="AT374" s="598"/>
      <c r="AU374" s="598"/>
    </row>
    <row r="375" spans="1:47" s="3" customFormat="1" ht="16.5" customHeight="1">
      <c r="A375" s="50"/>
      <c r="B375" s="137" t="s">
        <v>438</v>
      </c>
      <c r="C375" s="138"/>
      <c r="D375" s="22"/>
      <c r="E375" s="16"/>
      <c r="F375" s="27"/>
      <c r="G375" s="27"/>
      <c r="H375" s="36"/>
      <c r="I375" s="598"/>
      <c r="J375" s="598"/>
      <c r="K375" s="598"/>
      <c r="L375" s="598"/>
      <c r="M375" s="598"/>
      <c r="N375" s="598"/>
      <c r="O375" s="598"/>
      <c r="P375" s="598"/>
      <c r="Q375" s="598"/>
      <c r="R375" s="598"/>
      <c r="S375" s="598"/>
      <c r="T375" s="598"/>
      <c r="U375" s="598"/>
      <c r="V375" s="598"/>
      <c r="W375" s="598"/>
      <c r="X375" s="598"/>
      <c r="Y375" s="598"/>
      <c r="Z375" s="598"/>
      <c r="AA375" s="598"/>
      <c r="AB375" s="598"/>
      <c r="AC375" s="598"/>
      <c r="AD375" s="598"/>
      <c r="AE375" s="598"/>
      <c r="AF375" s="598"/>
      <c r="AG375" s="598"/>
      <c r="AH375" s="598"/>
      <c r="AI375" s="598"/>
      <c r="AJ375" s="598"/>
      <c r="AK375" s="598"/>
      <c r="AL375" s="598"/>
      <c r="AM375" s="598"/>
      <c r="AN375" s="598"/>
      <c r="AO375" s="598"/>
      <c r="AP375" s="598"/>
      <c r="AQ375" s="598"/>
      <c r="AR375" s="598"/>
      <c r="AS375" s="598"/>
      <c r="AT375" s="598"/>
      <c r="AU375" s="598"/>
    </row>
    <row r="376" spans="1:47" s="3" customFormat="1" ht="16.5" customHeight="1">
      <c r="A376" s="50"/>
      <c r="B376" s="137" t="s">
        <v>439</v>
      </c>
      <c r="C376" s="138"/>
      <c r="D376" s="22"/>
      <c r="E376" s="16"/>
      <c r="F376" s="27"/>
      <c r="G376" s="27"/>
      <c r="H376" s="36">
        <v>30000</v>
      </c>
      <c r="I376" s="598"/>
      <c r="J376" s="598"/>
      <c r="K376" s="598"/>
      <c r="L376" s="598"/>
      <c r="M376" s="598"/>
      <c r="N376" s="598"/>
      <c r="O376" s="598"/>
      <c r="P376" s="598"/>
      <c r="Q376" s="598"/>
      <c r="R376" s="598"/>
      <c r="S376" s="598"/>
      <c r="T376" s="598"/>
      <c r="U376" s="598"/>
      <c r="V376" s="598"/>
      <c r="W376" s="598"/>
      <c r="X376" s="598"/>
      <c r="Y376" s="598"/>
      <c r="Z376" s="598"/>
      <c r="AA376" s="598"/>
      <c r="AB376" s="598"/>
      <c r="AC376" s="598"/>
      <c r="AD376" s="598"/>
      <c r="AE376" s="598"/>
      <c r="AF376" s="598"/>
      <c r="AG376" s="598"/>
      <c r="AH376" s="598"/>
      <c r="AI376" s="598"/>
      <c r="AJ376" s="598"/>
      <c r="AK376" s="598"/>
      <c r="AL376" s="598"/>
      <c r="AM376" s="598"/>
      <c r="AN376" s="598"/>
      <c r="AO376" s="598"/>
      <c r="AP376" s="598"/>
      <c r="AQ376" s="598"/>
      <c r="AR376" s="598"/>
      <c r="AS376" s="598"/>
      <c r="AT376" s="598"/>
      <c r="AU376" s="598"/>
    </row>
    <row r="377" spans="1:47" s="3" customFormat="1" ht="16.5" customHeight="1">
      <c r="A377" s="50"/>
      <c r="B377" s="137"/>
      <c r="C377" s="138"/>
      <c r="D377" s="22"/>
      <c r="E377" s="16"/>
      <c r="F377" s="27"/>
      <c r="G377" s="27"/>
      <c r="H377" s="36"/>
      <c r="I377" s="598"/>
      <c r="J377" s="598"/>
      <c r="K377" s="598"/>
      <c r="L377" s="598"/>
      <c r="M377" s="598"/>
      <c r="N377" s="598"/>
      <c r="O377" s="598"/>
      <c r="P377" s="598"/>
      <c r="Q377" s="598"/>
      <c r="R377" s="598"/>
      <c r="S377" s="598"/>
      <c r="T377" s="598"/>
      <c r="U377" s="598"/>
      <c r="V377" s="598"/>
      <c r="W377" s="598"/>
      <c r="X377" s="598"/>
      <c r="Y377" s="598"/>
      <c r="Z377" s="598"/>
      <c r="AA377" s="598"/>
      <c r="AB377" s="598"/>
      <c r="AC377" s="598"/>
      <c r="AD377" s="598"/>
      <c r="AE377" s="598"/>
      <c r="AF377" s="598"/>
      <c r="AG377" s="598"/>
      <c r="AH377" s="598"/>
      <c r="AI377" s="598"/>
      <c r="AJ377" s="598"/>
      <c r="AK377" s="598"/>
      <c r="AL377" s="598"/>
      <c r="AM377" s="598"/>
      <c r="AN377" s="598"/>
      <c r="AO377" s="598"/>
      <c r="AP377" s="598"/>
      <c r="AQ377" s="598"/>
      <c r="AR377" s="598"/>
      <c r="AS377" s="598"/>
      <c r="AT377" s="598"/>
      <c r="AU377" s="598"/>
    </row>
    <row r="378" spans="1:47" s="3" customFormat="1" ht="16.5" customHeight="1">
      <c r="A378" s="50"/>
      <c r="B378" s="137" t="s">
        <v>535</v>
      </c>
      <c r="C378" s="138"/>
      <c r="D378" s="22"/>
      <c r="E378" s="16"/>
      <c r="F378" s="27"/>
      <c r="G378" s="27"/>
      <c r="H378" s="36"/>
      <c r="I378" s="598"/>
      <c r="J378" s="598"/>
      <c r="K378" s="598"/>
      <c r="L378" s="598"/>
      <c r="M378" s="598"/>
      <c r="N378" s="598"/>
      <c r="O378" s="598"/>
      <c r="P378" s="598"/>
      <c r="Q378" s="598"/>
      <c r="R378" s="598"/>
      <c r="S378" s="598"/>
      <c r="T378" s="598"/>
      <c r="U378" s="598"/>
      <c r="V378" s="598"/>
      <c r="W378" s="598"/>
      <c r="X378" s="598"/>
      <c r="Y378" s="598"/>
      <c r="Z378" s="598"/>
      <c r="AA378" s="598"/>
      <c r="AB378" s="598"/>
      <c r="AC378" s="598"/>
      <c r="AD378" s="598"/>
      <c r="AE378" s="598"/>
      <c r="AF378" s="598"/>
      <c r="AG378" s="598"/>
      <c r="AH378" s="598"/>
      <c r="AI378" s="598"/>
      <c r="AJ378" s="598"/>
      <c r="AK378" s="598"/>
      <c r="AL378" s="598"/>
      <c r="AM378" s="598"/>
      <c r="AN378" s="598"/>
      <c r="AO378" s="598"/>
      <c r="AP378" s="598"/>
      <c r="AQ378" s="598"/>
      <c r="AR378" s="598"/>
      <c r="AS378" s="598"/>
      <c r="AT378" s="598"/>
      <c r="AU378" s="598"/>
    </row>
    <row r="379" spans="1:47" s="3" customFormat="1" ht="16.5" customHeight="1">
      <c r="A379" s="50"/>
      <c r="B379" s="137" t="s">
        <v>516</v>
      </c>
      <c r="C379" s="138"/>
      <c r="D379" s="22"/>
      <c r="E379" s="16"/>
      <c r="F379" s="27"/>
      <c r="G379" s="27"/>
      <c r="H379" s="36">
        <v>20024.23</v>
      </c>
      <c r="I379" s="598"/>
      <c r="J379" s="598"/>
      <c r="K379" s="598"/>
      <c r="L379" s="598"/>
      <c r="M379" s="598"/>
      <c r="N379" s="598"/>
      <c r="O379" s="598"/>
      <c r="P379" s="598"/>
      <c r="Q379" s="598"/>
      <c r="R379" s="598"/>
      <c r="S379" s="598"/>
      <c r="T379" s="598"/>
      <c r="U379" s="598"/>
      <c r="V379" s="598"/>
      <c r="W379" s="598"/>
      <c r="X379" s="598"/>
      <c r="Y379" s="598"/>
      <c r="Z379" s="598"/>
      <c r="AA379" s="598"/>
      <c r="AB379" s="598"/>
      <c r="AC379" s="598"/>
      <c r="AD379" s="598"/>
      <c r="AE379" s="598"/>
      <c r="AF379" s="598"/>
      <c r="AG379" s="598"/>
      <c r="AH379" s="598"/>
      <c r="AI379" s="598"/>
      <c r="AJ379" s="598"/>
      <c r="AK379" s="598"/>
      <c r="AL379" s="598"/>
      <c r="AM379" s="598"/>
      <c r="AN379" s="598"/>
      <c r="AO379" s="598"/>
      <c r="AP379" s="598"/>
      <c r="AQ379" s="598"/>
      <c r="AR379" s="598"/>
      <c r="AS379" s="598"/>
      <c r="AT379" s="598"/>
      <c r="AU379" s="598"/>
    </row>
    <row r="380" spans="1:47" s="3" customFormat="1" ht="16.5" customHeight="1">
      <c r="A380" s="50"/>
      <c r="B380" s="137"/>
      <c r="C380" s="138"/>
      <c r="D380" s="22"/>
      <c r="E380" s="16"/>
      <c r="F380" s="27"/>
      <c r="G380" s="27"/>
      <c r="H380" s="36"/>
      <c r="I380" s="598"/>
      <c r="J380" s="598"/>
      <c r="K380" s="598"/>
      <c r="L380" s="598"/>
      <c r="M380" s="598"/>
      <c r="N380" s="598"/>
      <c r="O380" s="598"/>
      <c r="P380" s="598"/>
      <c r="Q380" s="598"/>
      <c r="R380" s="598"/>
      <c r="S380" s="598"/>
      <c r="T380" s="598"/>
      <c r="U380" s="598"/>
      <c r="V380" s="598"/>
      <c r="W380" s="598"/>
      <c r="X380" s="598"/>
      <c r="Y380" s="598"/>
      <c r="Z380" s="598"/>
      <c r="AA380" s="598"/>
      <c r="AB380" s="598"/>
      <c r="AC380" s="598"/>
      <c r="AD380" s="598"/>
      <c r="AE380" s="598"/>
      <c r="AF380" s="598"/>
      <c r="AG380" s="598"/>
      <c r="AH380" s="598"/>
      <c r="AI380" s="598"/>
      <c r="AJ380" s="598"/>
      <c r="AK380" s="598"/>
      <c r="AL380" s="598"/>
      <c r="AM380" s="598"/>
      <c r="AN380" s="598"/>
      <c r="AO380" s="598"/>
      <c r="AP380" s="598"/>
      <c r="AQ380" s="598"/>
      <c r="AR380" s="598"/>
      <c r="AS380" s="598"/>
      <c r="AT380" s="598"/>
      <c r="AU380" s="598"/>
    </row>
    <row r="381" spans="1:47" s="3" customFormat="1" ht="16.5" customHeight="1">
      <c r="A381" s="50"/>
      <c r="B381" s="137" t="s">
        <v>517</v>
      </c>
      <c r="C381" s="138"/>
      <c r="D381" s="22"/>
      <c r="E381" s="16"/>
      <c r="F381" s="27"/>
      <c r="G381" s="27"/>
      <c r="H381" s="36"/>
      <c r="I381" s="598"/>
      <c r="J381" s="598"/>
      <c r="K381" s="598"/>
      <c r="L381" s="598"/>
      <c r="M381" s="598"/>
      <c r="N381" s="598"/>
      <c r="O381" s="598"/>
      <c r="P381" s="598"/>
      <c r="Q381" s="598"/>
      <c r="R381" s="598"/>
      <c r="S381" s="598"/>
      <c r="T381" s="598"/>
      <c r="U381" s="598"/>
      <c r="V381" s="598"/>
      <c r="W381" s="598"/>
      <c r="X381" s="598"/>
      <c r="Y381" s="598"/>
      <c r="Z381" s="598"/>
      <c r="AA381" s="598"/>
      <c r="AB381" s="598"/>
      <c r="AC381" s="598"/>
      <c r="AD381" s="598"/>
      <c r="AE381" s="598"/>
      <c r="AF381" s="598"/>
      <c r="AG381" s="598"/>
      <c r="AH381" s="598"/>
      <c r="AI381" s="598"/>
      <c r="AJ381" s="598"/>
      <c r="AK381" s="598"/>
      <c r="AL381" s="598"/>
      <c r="AM381" s="598"/>
      <c r="AN381" s="598"/>
      <c r="AO381" s="598"/>
      <c r="AP381" s="598"/>
      <c r="AQ381" s="598"/>
      <c r="AR381" s="598"/>
      <c r="AS381" s="598"/>
      <c r="AT381" s="598"/>
      <c r="AU381" s="598"/>
    </row>
    <row r="382" spans="1:47" s="3" customFormat="1" ht="16.5" customHeight="1">
      <c r="A382" s="134"/>
      <c r="B382" s="137" t="s">
        <v>518</v>
      </c>
      <c r="C382" s="138"/>
      <c r="D382" s="22"/>
      <c r="E382" s="16"/>
      <c r="F382" s="27"/>
      <c r="G382" s="27"/>
      <c r="H382" s="36">
        <v>20151.66</v>
      </c>
      <c r="I382" s="598"/>
      <c r="J382" s="598"/>
      <c r="K382" s="598"/>
      <c r="L382" s="598"/>
      <c r="M382" s="598"/>
      <c r="N382" s="598"/>
      <c r="O382" s="598"/>
      <c r="P382" s="598"/>
      <c r="Q382" s="598"/>
      <c r="R382" s="598"/>
      <c r="S382" s="598"/>
      <c r="T382" s="598"/>
      <c r="U382" s="598"/>
      <c r="V382" s="598"/>
      <c r="W382" s="598"/>
      <c r="X382" s="598"/>
      <c r="Y382" s="598"/>
      <c r="Z382" s="598"/>
      <c r="AA382" s="598"/>
      <c r="AB382" s="598"/>
      <c r="AC382" s="598"/>
      <c r="AD382" s="598"/>
      <c r="AE382" s="598"/>
      <c r="AF382" s="598"/>
      <c r="AG382" s="598"/>
      <c r="AH382" s="598"/>
      <c r="AI382" s="598"/>
      <c r="AJ382" s="598"/>
      <c r="AK382" s="598"/>
      <c r="AL382" s="598"/>
      <c r="AM382" s="598"/>
      <c r="AN382" s="598"/>
      <c r="AO382" s="598"/>
      <c r="AP382" s="598"/>
      <c r="AQ382" s="598"/>
      <c r="AR382" s="598"/>
      <c r="AS382" s="598"/>
      <c r="AT382" s="598"/>
      <c r="AU382" s="598"/>
    </row>
    <row r="383" spans="1:47" s="3" customFormat="1" ht="16.5" customHeight="1">
      <c r="A383" s="134"/>
      <c r="B383" s="137"/>
      <c r="C383" s="138"/>
      <c r="D383" s="22"/>
      <c r="E383" s="16"/>
      <c r="F383" s="27"/>
      <c r="G383" s="27"/>
      <c r="H383" s="36"/>
      <c r="I383" s="598"/>
      <c r="J383" s="598"/>
      <c r="K383" s="598"/>
      <c r="L383" s="598"/>
      <c r="M383" s="598"/>
      <c r="N383" s="598"/>
      <c r="O383" s="598"/>
      <c r="P383" s="598"/>
      <c r="Q383" s="598"/>
      <c r="R383" s="598"/>
      <c r="S383" s="598"/>
      <c r="T383" s="598"/>
      <c r="U383" s="598"/>
      <c r="V383" s="598"/>
      <c r="W383" s="598"/>
      <c r="X383" s="598"/>
      <c r="Y383" s="598"/>
      <c r="Z383" s="598"/>
      <c r="AA383" s="598"/>
      <c r="AB383" s="598"/>
      <c r="AC383" s="598"/>
      <c r="AD383" s="598"/>
      <c r="AE383" s="598"/>
      <c r="AF383" s="598"/>
      <c r="AG383" s="598"/>
      <c r="AH383" s="598"/>
      <c r="AI383" s="598"/>
      <c r="AJ383" s="598"/>
      <c r="AK383" s="598"/>
      <c r="AL383" s="598"/>
      <c r="AM383" s="598"/>
      <c r="AN383" s="598"/>
      <c r="AO383" s="598"/>
      <c r="AP383" s="598"/>
      <c r="AQ383" s="598"/>
      <c r="AR383" s="598"/>
      <c r="AS383" s="598"/>
      <c r="AT383" s="598"/>
      <c r="AU383" s="598"/>
    </row>
    <row r="384" spans="1:47" s="3" customFormat="1" ht="16.5" customHeight="1">
      <c r="A384" s="134"/>
      <c r="B384" s="137"/>
      <c r="C384" s="138"/>
      <c r="D384" s="22"/>
      <c r="E384" s="16"/>
      <c r="F384" s="27"/>
      <c r="G384" s="27"/>
      <c r="H384" s="36"/>
      <c r="I384" s="598"/>
      <c r="J384" s="598"/>
      <c r="K384" s="598"/>
      <c r="L384" s="598"/>
      <c r="M384" s="598"/>
      <c r="N384" s="598"/>
      <c r="O384" s="598"/>
      <c r="P384" s="598"/>
      <c r="Q384" s="598"/>
      <c r="R384" s="598"/>
      <c r="S384" s="598"/>
      <c r="T384" s="598"/>
      <c r="U384" s="598"/>
      <c r="V384" s="598"/>
      <c r="W384" s="598"/>
      <c r="X384" s="598"/>
      <c r="Y384" s="598"/>
      <c r="Z384" s="598"/>
      <c r="AA384" s="598"/>
      <c r="AB384" s="598"/>
      <c r="AC384" s="598"/>
      <c r="AD384" s="598"/>
      <c r="AE384" s="598"/>
      <c r="AF384" s="598"/>
      <c r="AG384" s="598"/>
      <c r="AH384" s="598"/>
      <c r="AI384" s="598"/>
      <c r="AJ384" s="598"/>
      <c r="AK384" s="598"/>
      <c r="AL384" s="598"/>
      <c r="AM384" s="598"/>
      <c r="AN384" s="598"/>
      <c r="AO384" s="598"/>
      <c r="AP384" s="598"/>
      <c r="AQ384" s="598"/>
      <c r="AR384" s="598"/>
      <c r="AS384" s="598"/>
      <c r="AT384" s="598"/>
      <c r="AU384" s="598"/>
    </row>
    <row r="385" spans="1:47" s="3" customFormat="1" ht="16.5" customHeight="1">
      <c r="A385" s="136" t="s">
        <v>17</v>
      </c>
      <c r="B385" s="137"/>
      <c r="C385" s="138"/>
      <c r="D385" s="22"/>
      <c r="E385" s="16"/>
      <c r="F385" s="27"/>
      <c r="G385" s="27"/>
      <c r="H385" s="37">
        <f>H387+H391+H395+H400</f>
        <v>86851.66</v>
      </c>
      <c r="I385" s="598"/>
      <c r="J385" s="598"/>
      <c r="K385" s="598"/>
      <c r="L385" s="598"/>
      <c r="M385" s="598"/>
      <c r="N385" s="598"/>
      <c r="O385" s="598"/>
      <c r="P385" s="598"/>
      <c r="Q385" s="598"/>
      <c r="R385" s="598"/>
      <c r="S385" s="598"/>
      <c r="T385" s="598"/>
      <c r="U385" s="598"/>
      <c r="V385" s="598"/>
      <c r="W385" s="598"/>
      <c r="X385" s="598"/>
      <c r="Y385" s="598"/>
      <c r="Z385" s="598"/>
      <c r="AA385" s="598"/>
      <c r="AB385" s="598"/>
      <c r="AC385" s="598"/>
      <c r="AD385" s="598"/>
      <c r="AE385" s="598"/>
      <c r="AF385" s="598"/>
      <c r="AG385" s="598"/>
      <c r="AH385" s="598"/>
      <c r="AI385" s="598"/>
      <c r="AJ385" s="598"/>
      <c r="AK385" s="598"/>
      <c r="AL385" s="598"/>
      <c r="AM385" s="598"/>
      <c r="AN385" s="598"/>
      <c r="AO385" s="598"/>
      <c r="AP385" s="598"/>
      <c r="AQ385" s="598"/>
      <c r="AR385" s="598"/>
      <c r="AS385" s="598"/>
      <c r="AT385" s="598"/>
      <c r="AU385" s="598"/>
    </row>
    <row r="386" spans="1:47" s="3" customFormat="1" ht="16.5" customHeight="1">
      <c r="A386" s="50" t="s">
        <v>4</v>
      </c>
      <c r="B386" s="137"/>
      <c r="C386" s="138"/>
      <c r="D386" s="22"/>
      <c r="E386" s="16"/>
      <c r="F386" s="27"/>
      <c r="G386" s="27"/>
      <c r="H386" s="36"/>
      <c r="I386" s="598"/>
      <c r="J386" s="598"/>
      <c r="K386" s="598"/>
      <c r="L386" s="598"/>
      <c r="M386" s="598"/>
      <c r="N386" s="598"/>
      <c r="O386" s="598"/>
      <c r="P386" s="598"/>
      <c r="Q386" s="598"/>
      <c r="R386" s="598"/>
      <c r="S386" s="598"/>
      <c r="T386" s="598"/>
      <c r="U386" s="598"/>
      <c r="V386" s="598"/>
      <c r="W386" s="598"/>
      <c r="X386" s="598"/>
      <c r="Y386" s="598"/>
      <c r="Z386" s="598"/>
      <c r="AA386" s="598"/>
      <c r="AB386" s="598"/>
      <c r="AC386" s="598"/>
      <c r="AD386" s="598"/>
      <c r="AE386" s="598"/>
      <c r="AF386" s="598"/>
      <c r="AG386" s="598"/>
      <c r="AH386" s="598"/>
      <c r="AI386" s="598"/>
      <c r="AJ386" s="598"/>
      <c r="AK386" s="598"/>
      <c r="AL386" s="598"/>
      <c r="AM386" s="598"/>
      <c r="AN386" s="598"/>
      <c r="AO386" s="598"/>
      <c r="AP386" s="598"/>
      <c r="AQ386" s="598"/>
      <c r="AR386" s="598"/>
      <c r="AS386" s="598"/>
      <c r="AT386" s="598"/>
      <c r="AU386" s="598"/>
    </row>
    <row r="387" spans="1:47" s="3" customFormat="1" ht="16.5" customHeight="1">
      <c r="A387" s="101" t="s">
        <v>453</v>
      </c>
      <c r="B387" s="137"/>
      <c r="C387" s="138"/>
      <c r="D387" s="22"/>
      <c r="E387" s="16"/>
      <c r="F387" s="27"/>
      <c r="G387" s="27"/>
      <c r="H387" s="25">
        <f>H389</f>
        <v>9000</v>
      </c>
      <c r="I387" s="598"/>
      <c r="J387" s="598"/>
      <c r="K387" s="598"/>
      <c r="L387" s="598"/>
      <c r="M387" s="598"/>
      <c r="N387" s="598"/>
      <c r="O387" s="598"/>
      <c r="P387" s="598"/>
      <c r="Q387" s="598"/>
      <c r="R387" s="598"/>
      <c r="S387" s="598"/>
      <c r="T387" s="598"/>
      <c r="U387" s="598"/>
      <c r="V387" s="598"/>
      <c r="W387" s="598"/>
      <c r="X387" s="598"/>
      <c r="Y387" s="598"/>
      <c r="Z387" s="598"/>
      <c r="AA387" s="598"/>
      <c r="AB387" s="598"/>
      <c r="AC387" s="598"/>
      <c r="AD387" s="598"/>
      <c r="AE387" s="598"/>
      <c r="AF387" s="598"/>
      <c r="AG387" s="598"/>
      <c r="AH387" s="598"/>
      <c r="AI387" s="598"/>
      <c r="AJ387" s="598"/>
      <c r="AK387" s="598"/>
      <c r="AL387" s="598"/>
      <c r="AM387" s="598"/>
      <c r="AN387" s="598"/>
      <c r="AO387" s="598"/>
      <c r="AP387" s="598"/>
      <c r="AQ387" s="598"/>
      <c r="AR387" s="598"/>
      <c r="AS387" s="598"/>
      <c r="AT387" s="598"/>
      <c r="AU387" s="598"/>
    </row>
    <row r="388" spans="1:47" s="3" customFormat="1" ht="16.5" customHeight="1">
      <c r="A388" s="50" t="s">
        <v>4</v>
      </c>
      <c r="B388" s="137"/>
      <c r="C388" s="138"/>
      <c r="D388" s="22"/>
      <c r="E388" s="16"/>
      <c r="F388" s="27"/>
      <c r="G388" s="27"/>
      <c r="H388" s="36"/>
      <c r="I388" s="598"/>
      <c r="J388" s="598"/>
      <c r="K388" s="598"/>
      <c r="L388" s="598"/>
      <c r="M388" s="598"/>
      <c r="N388" s="598"/>
      <c r="O388" s="598"/>
      <c r="P388" s="598"/>
      <c r="Q388" s="598"/>
      <c r="R388" s="598"/>
      <c r="S388" s="598"/>
      <c r="T388" s="598"/>
      <c r="U388" s="598"/>
      <c r="V388" s="598"/>
      <c r="W388" s="598"/>
      <c r="X388" s="598"/>
      <c r="Y388" s="598"/>
      <c r="Z388" s="598"/>
      <c r="AA388" s="598"/>
      <c r="AB388" s="598"/>
      <c r="AC388" s="598"/>
      <c r="AD388" s="598"/>
      <c r="AE388" s="598"/>
      <c r="AF388" s="598"/>
      <c r="AG388" s="598"/>
      <c r="AH388" s="598"/>
      <c r="AI388" s="598"/>
      <c r="AJ388" s="598"/>
      <c r="AK388" s="598"/>
      <c r="AL388" s="598"/>
      <c r="AM388" s="598"/>
      <c r="AN388" s="598"/>
      <c r="AO388" s="598"/>
      <c r="AP388" s="598"/>
      <c r="AQ388" s="598"/>
      <c r="AR388" s="598"/>
      <c r="AS388" s="598"/>
      <c r="AT388" s="598"/>
      <c r="AU388" s="598"/>
    </row>
    <row r="389" spans="1:47" s="3" customFormat="1" ht="16.5" customHeight="1">
      <c r="A389" s="50"/>
      <c r="B389" s="137" t="s">
        <v>109</v>
      </c>
      <c r="C389" s="138"/>
      <c r="D389" s="22"/>
      <c r="E389" s="16"/>
      <c r="F389" s="27"/>
      <c r="G389" s="27"/>
      <c r="H389" s="36">
        <v>9000</v>
      </c>
      <c r="I389" s="598"/>
      <c r="J389" s="598"/>
      <c r="K389" s="598"/>
      <c r="L389" s="598"/>
      <c r="M389" s="598"/>
      <c r="N389" s="598"/>
      <c r="O389" s="598"/>
      <c r="P389" s="598"/>
      <c r="Q389" s="598"/>
      <c r="R389" s="598"/>
      <c r="S389" s="598"/>
      <c r="T389" s="598"/>
      <c r="U389" s="598"/>
      <c r="V389" s="598"/>
      <c r="W389" s="598"/>
      <c r="X389" s="598"/>
      <c r="Y389" s="598"/>
      <c r="Z389" s="598"/>
      <c r="AA389" s="598"/>
      <c r="AB389" s="598"/>
      <c r="AC389" s="598"/>
      <c r="AD389" s="598"/>
      <c r="AE389" s="598"/>
      <c r="AF389" s="598"/>
      <c r="AG389" s="598"/>
      <c r="AH389" s="598"/>
      <c r="AI389" s="598"/>
      <c r="AJ389" s="598"/>
      <c r="AK389" s="598"/>
      <c r="AL389" s="598"/>
      <c r="AM389" s="598"/>
      <c r="AN389" s="598"/>
      <c r="AO389" s="598"/>
      <c r="AP389" s="598"/>
      <c r="AQ389" s="598"/>
      <c r="AR389" s="598"/>
      <c r="AS389" s="598"/>
      <c r="AT389" s="598"/>
      <c r="AU389" s="598"/>
    </row>
    <row r="390" spans="1:47" s="3" customFormat="1" ht="16.5" customHeight="1">
      <c r="A390" s="50"/>
      <c r="B390" s="137"/>
      <c r="C390" s="138"/>
      <c r="D390" s="22"/>
      <c r="E390" s="16"/>
      <c r="F390" s="27"/>
      <c r="G390" s="27"/>
      <c r="H390" s="36"/>
      <c r="I390" s="598"/>
      <c r="J390" s="598"/>
      <c r="K390" s="598"/>
      <c r="L390" s="598"/>
      <c r="M390" s="598"/>
      <c r="N390" s="598"/>
      <c r="O390" s="598"/>
      <c r="P390" s="598"/>
      <c r="Q390" s="598"/>
      <c r="R390" s="598"/>
      <c r="S390" s="598"/>
      <c r="T390" s="598"/>
      <c r="U390" s="598"/>
      <c r="V390" s="598"/>
      <c r="W390" s="598"/>
      <c r="X390" s="598"/>
      <c r="Y390" s="598"/>
      <c r="Z390" s="598"/>
      <c r="AA390" s="598"/>
      <c r="AB390" s="598"/>
      <c r="AC390" s="598"/>
      <c r="AD390" s="598"/>
      <c r="AE390" s="598"/>
      <c r="AF390" s="598"/>
      <c r="AG390" s="598"/>
      <c r="AH390" s="598"/>
      <c r="AI390" s="598"/>
      <c r="AJ390" s="598"/>
      <c r="AK390" s="598"/>
      <c r="AL390" s="598"/>
      <c r="AM390" s="598"/>
      <c r="AN390" s="598"/>
      <c r="AO390" s="598"/>
      <c r="AP390" s="598"/>
      <c r="AQ390" s="598"/>
      <c r="AR390" s="598"/>
      <c r="AS390" s="598"/>
      <c r="AT390" s="598"/>
      <c r="AU390" s="598"/>
    </row>
    <row r="391" spans="1:47" s="3" customFormat="1" ht="16.5" customHeight="1">
      <c r="A391" s="101" t="s">
        <v>519</v>
      </c>
      <c r="B391" s="137"/>
      <c r="C391" s="138"/>
      <c r="D391" s="22"/>
      <c r="E391" s="16"/>
      <c r="F391" s="27"/>
      <c r="G391" s="27"/>
      <c r="H391" s="25">
        <f>H393</f>
        <v>20151.66</v>
      </c>
      <c r="I391" s="598"/>
      <c r="J391" s="598"/>
      <c r="K391" s="598"/>
      <c r="L391" s="598"/>
      <c r="M391" s="598"/>
      <c r="N391" s="598"/>
      <c r="O391" s="598"/>
      <c r="P391" s="598"/>
      <c r="Q391" s="598"/>
      <c r="R391" s="598"/>
      <c r="S391" s="598"/>
      <c r="T391" s="598"/>
      <c r="U391" s="598"/>
      <c r="V391" s="598"/>
      <c r="W391" s="598"/>
      <c r="X391" s="598"/>
      <c r="Y391" s="598"/>
      <c r="Z391" s="598"/>
      <c r="AA391" s="598"/>
      <c r="AB391" s="598"/>
      <c r="AC391" s="598"/>
      <c r="AD391" s="598"/>
      <c r="AE391" s="598"/>
      <c r="AF391" s="598"/>
      <c r="AG391" s="598"/>
      <c r="AH391" s="598"/>
      <c r="AI391" s="598"/>
      <c r="AJ391" s="598"/>
      <c r="AK391" s="598"/>
      <c r="AL391" s="598"/>
      <c r="AM391" s="598"/>
      <c r="AN391" s="598"/>
      <c r="AO391" s="598"/>
      <c r="AP391" s="598"/>
      <c r="AQ391" s="598"/>
      <c r="AR391" s="598"/>
      <c r="AS391" s="598"/>
      <c r="AT391" s="598"/>
      <c r="AU391" s="598"/>
    </row>
    <row r="392" spans="1:47" s="3" customFormat="1" ht="16.5" customHeight="1">
      <c r="A392" s="50" t="s">
        <v>4</v>
      </c>
      <c r="B392" s="137"/>
      <c r="C392" s="138"/>
      <c r="D392" s="22"/>
      <c r="E392" s="16"/>
      <c r="F392" s="27"/>
      <c r="G392" s="27"/>
      <c r="H392" s="36"/>
      <c r="I392" s="598"/>
      <c r="J392" s="598"/>
      <c r="K392" s="598"/>
      <c r="L392" s="598"/>
      <c r="M392" s="598"/>
      <c r="N392" s="598"/>
      <c r="O392" s="598"/>
      <c r="P392" s="598"/>
      <c r="Q392" s="598"/>
      <c r="R392" s="598"/>
      <c r="S392" s="598"/>
      <c r="T392" s="598"/>
      <c r="U392" s="598"/>
      <c r="V392" s="598"/>
      <c r="W392" s="598"/>
      <c r="X392" s="598"/>
      <c r="Y392" s="598"/>
      <c r="Z392" s="598"/>
      <c r="AA392" s="598"/>
      <c r="AB392" s="598"/>
      <c r="AC392" s="598"/>
      <c r="AD392" s="598"/>
      <c r="AE392" s="598"/>
      <c r="AF392" s="598"/>
      <c r="AG392" s="598"/>
      <c r="AH392" s="598"/>
      <c r="AI392" s="598"/>
      <c r="AJ392" s="598"/>
      <c r="AK392" s="598"/>
      <c r="AL392" s="598"/>
      <c r="AM392" s="598"/>
      <c r="AN392" s="598"/>
      <c r="AO392" s="598"/>
      <c r="AP392" s="598"/>
      <c r="AQ392" s="598"/>
      <c r="AR392" s="598"/>
      <c r="AS392" s="598"/>
      <c r="AT392" s="598"/>
      <c r="AU392" s="598"/>
    </row>
    <row r="393" spans="1:47" s="3" customFormat="1" ht="16.5" customHeight="1">
      <c r="A393" s="50"/>
      <c r="B393" s="137" t="s">
        <v>16</v>
      </c>
      <c r="C393" s="138"/>
      <c r="D393" s="22"/>
      <c r="E393" s="16"/>
      <c r="F393" s="27"/>
      <c r="G393" s="27"/>
      <c r="H393" s="36">
        <v>20151.66</v>
      </c>
      <c r="I393" s="598"/>
      <c r="J393" s="598"/>
      <c r="K393" s="598"/>
      <c r="L393" s="598"/>
      <c r="M393" s="598"/>
      <c r="N393" s="598"/>
      <c r="O393" s="598"/>
      <c r="P393" s="598"/>
      <c r="Q393" s="598"/>
      <c r="R393" s="598"/>
      <c r="S393" s="598"/>
      <c r="T393" s="598"/>
      <c r="U393" s="598"/>
      <c r="V393" s="598"/>
      <c r="W393" s="598"/>
      <c r="X393" s="598"/>
      <c r="Y393" s="598"/>
      <c r="Z393" s="598"/>
      <c r="AA393" s="598"/>
      <c r="AB393" s="598"/>
      <c r="AC393" s="598"/>
      <c r="AD393" s="598"/>
      <c r="AE393" s="598"/>
      <c r="AF393" s="598"/>
      <c r="AG393" s="598"/>
      <c r="AH393" s="598"/>
      <c r="AI393" s="598"/>
      <c r="AJ393" s="598"/>
      <c r="AK393" s="598"/>
      <c r="AL393" s="598"/>
      <c r="AM393" s="598"/>
      <c r="AN393" s="598"/>
      <c r="AO393" s="598"/>
      <c r="AP393" s="598"/>
      <c r="AQ393" s="598"/>
      <c r="AR393" s="598"/>
      <c r="AS393" s="598"/>
      <c r="AT393" s="598"/>
      <c r="AU393" s="598"/>
    </row>
    <row r="394" spans="1:47" s="3" customFormat="1" ht="16.5" customHeight="1">
      <c r="A394" s="101"/>
      <c r="B394" s="131"/>
      <c r="C394" s="120"/>
      <c r="D394" s="35"/>
      <c r="E394" s="35"/>
      <c r="F394" s="35"/>
      <c r="G394" s="27"/>
      <c r="H394" s="36"/>
      <c r="I394" s="598"/>
      <c r="J394" s="598"/>
      <c r="K394" s="598"/>
      <c r="L394" s="598"/>
      <c r="M394" s="598"/>
      <c r="N394" s="598"/>
      <c r="O394" s="598"/>
      <c r="P394" s="598"/>
      <c r="Q394" s="598"/>
      <c r="R394" s="598"/>
      <c r="S394" s="598"/>
      <c r="T394" s="598"/>
      <c r="U394" s="598"/>
      <c r="V394" s="598"/>
      <c r="W394" s="598"/>
      <c r="X394" s="598"/>
      <c r="Y394" s="598"/>
      <c r="Z394" s="598"/>
      <c r="AA394" s="598"/>
      <c r="AB394" s="598"/>
      <c r="AC394" s="598"/>
      <c r="AD394" s="598"/>
      <c r="AE394" s="598"/>
      <c r="AF394" s="598"/>
      <c r="AG394" s="598"/>
      <c r="AH394" s="598"/>
      <c r="AI394" s="598"/>
      <c r="AJ394" s="598"/>
      <c r="AK394" s="598"/>
      <c r="AL394" s="598"/>
      <c r="AM394" s="598"/>
      <c r="AN394" s="598"/>
      <c r="AO394" s="598"/>
      <c r="AP394" s="598"/>
      <c r="AQ394" s="598"/>
      <c r="AR394" s="598"/>
      <c r="AS394" s="598"/>
      <c r="AT394" s="598"/>
      <c r="AU394" s="598"/>
    </row>
    <row r="395" spans="1:47" s="3" customFormat="1" ht="16.5" customHeight="1">
      <c r="A395" s="101" t="s">
        <v>511</v>
      </c>
      <c r="B395" s="137"/>
      <c r="C395" s="138"/>
      <c r="D395" s="22"/>
      <c r="E395" s="16"/>
      <c r="F395" s="27"/>
      <c r="G395" s="27"/>
      <c r="H395" s="25">
        <f>H398</f>
        <v>12500</v>
      </c>
      <c r="I395" s="598"/>
      <c r="J395" s="598"/>
      <c r="K395" s="598"/>
      <c r="L395" s="598"/>
      <c r="M395" s="598"/>
      <c r="N395" s="598"/>
      <c r="O395" s="598"/>
      <c r="P395" s="598"/>
      <c r="Q395" s="598"/>
      <c r="R395" s="598"/>
      <c r="S395" s="598"/>
      <c r="T395" s="598"/>
      <c r="U395" s="598"/>
      <c r="V395" s="598"/>
      <c r="W395" s="598"/>
      <c r="X395" s="598"/>
      <c r="Y395" s="598"/>
      <c r="Z395" s="598"/>
      <c r="AA395" s="598"/>
      <c r="AB395" s="598"/>
      <c r="AC395" s="598"/>
      <c r="AD395" s="598"/>
      <c r="AE395" s="598"/>
      <c r="AF395" s="598"/>
      <c r="AG395" s="598"/>
      <c r="AH395" s="598"/>
      <c r="AI395" s="598"/>
      <c r="AJ395" s="598"/>
      <c r="AK395" s="598"/>
      <c r="AL395" s="598"/>
      <c r="AM395" s="598"/>
      <c r="AN395" s="598"/>
      <c r="AO395" s="598"/>
      <c r="AP395" s="598"/>
      <c r="AQ395" s="598"/>
      <c r="AR395" s="598"/>
      <c r="AS395" s="598"/>
      <c r="AT395" s="598"/>
      <c r="AU395" s="598"/>
    </row>
    <row r="396" spans="1:47" s="3" customFormat="1" ht="16.5" customHeight="1">
      <c r="A396" s="50" t="s">
        <v>4</v>
      </c>
      <c r="B396" s="137"/>
      <c r="C396" s="138"/>
      <c r="D396" s="22"/>
      <c r="E396" s="16"/>
      <c r="F396" s="27"/>
      <c r="G396" s="27"/>
      <c r="H396" s="36"/>
      <c r="I396" s="598"/>
      <c r="J396" s="598"/>
      <c r="K396" s="598"/>
      <c r="L396" s="598"/>
      <c r="M396" s="598"/>
      <c r="N396" s="598"/>
      <c r="O396" s="598"/>
      <c r="P396" s="598"/>
      <c r="Q396" s="598"/>
      <c r="R396" s="598"/>
      <c r="S396" s="598"/>
      <c r="T396" s="598"/>
      <c r="U396" s="598"/>
      <c r="V396" s="598"/>
      <c r="W396" s="598"/>
      <c r="X396" s="598"/>
      <c r="Y396" s="598"/>
      <c r="Z396" s="598"/>
      <c r="AA396" s="598"/>
      <c r="AB396" s="598"/>
      <c r="AC396" s="598"/>
      <c r="AD396" s="598"/>
      <c r="AE396" s="598"/>
      <c r="AF396" s="598"/>
      <c r="AG396" s="598"/>
      <c r="AH396" s="598"/>
      <c r="AI396" s="598"/>
      <c r="AJ396" s="598"/>
      <c r="AK396" s="598"/>
      <c r="AL396" s="598"/>
      <c r="AM396" s="598"/>
      <c r="AN396" s="598"/>
      <c r="AO396" s="598"/>
      <c r="AP396" s="598"/>
      <c r="AQ396" s="598"/>
      <c r="AR396" s="598"/>
      <c r="AS396" s="598"/>
      <c r="AT396" s="598"/>
      <c r="AU396" s="598"/>
    </row>
    <row r="397" spans="1:47" s="3" customFormat="1" ht="16.5" customHeight="1">
      <c r="A397" s="50"/>
      <c r="B397" s="137" t="s">
        <v>512</v>
      </c>
      <c r="C397" s="138"/>
      <c r="D397" s="22"/>
      <c r="E397" s="16"/>
      <c r="F397" s="27"/>
      <c r="G397" s="27"/>
      <c r="H397" s="36"/>
      <c r="I397" s="598"/>
      <c r="J397" s="598"/>
      <c r="K397" s="598"/>
      <c r="L397" s="598"/>
      <c r="M397" s="598"/>
      <c r="N397" s="598"/>
      <c r="O397" s="598"/>
      <c r="P397" s="598"/>
      <c r="Q397" s="598"/>
      <c r="R397" s="598"/>
      <c r="S397" s="598"/>
      <c r="T397" s="598"/>
      <c r="U397" s="598"/>
      <c r="V397" s="598"/>
      <c r="W397" s="598"/>
      <c r="X397" s="598"/>
      <c r="Y397" s="598"/>
      <c r="Z397" s="598"/>
      <c r="AA397" s="598"/>
      <c r="AB397" s="598"/>
      <c r="AC397" s="598"/>
      <c r="AD397" s="598"/>
      <c r="AE397" s="598"/>
      <c r="AF397" s="598"/>
      <c r="AG397" s="598"/>
      <c r="AH397" s="598"/>
      <c r="AI397" s="598"/>
      <c r="AJ397" s="598"/>
      <c r="AK397" s="598"/>
      <c r="AL397" s="598"/>
      <c r="AM397" s="598"/>
      <c r="AN397" s="598"/>
      <c r="AO397" s="598"/>
      <c r="AP397" s="598"/>
      <c r="AQ397" s="598"/>
      <c r="AR397" s="598"/>
      <c r="AS397" s="598"/>
      <c r="AT397" s="598"/>
      <c r="AU397" s="598"/>
    </row>
    <row r="398" spans="1:47" s="3" customFormat="1" ht="16.5" customHeight="1">
      <c r="A398" s="50"/>
      <c r="B398" s="137" t="s">
        <v>513</v>
      </c>
      <c r="C398" s="138"/>
      <c r="D398" s="22"/>
      <c r="E398" s="16"/>
      <c r="F398" s="27"/>
      <c r="G398" s="27"/>
      <c r="H398" s="36">
        <v>12500</v>
      </c>
      <c r="I398" s="598"/>
      <c r="J398" s="598"/>
      <c r="K398" s="598"/>
      <c r="L398" s="598"/>
      <c r="M398" s="598"/>
      <c r="N398" s="598"/>
      <c r="O398" s="598"/>
      <c r="P398" s="598"/>
      <c r="Q398" s="598"/>
      <c r="R398" s="598"/>
      <c r="S398" s="598"/>
      <c r="T398" s="598"/>
      <c r="U398" s="598"/>
      <c r="V398" s="598"/>
      <c r="W398" s="598"/>
      <c r="X398" s="598"/>
      <c r="Y398" s="598"/>
      <c r="Z398" s="598"/>
      <c r="AA398" s="598"/>
      <c r="AB398" s="598"/>
      <c r="AC398" s="598"/>
      <c r="AD398" s="598"/>
      <c r="AE398" s="598"/>
      <c r="AF398" s="598"/>
      <c r="AG398" s="598"/>
      <c r="AH398" s="598"/>
      <c r="AI398" s="598"/>
      <c r="AJ398" s="598"/>
      <c r="AK398" s="598"/>
      <c r="AL398" s="598"/>
      <c r="AM398" s="598"/>
      <c r="AN398" s="598"/>
      <c r="AO398" s="598"/>
      <c r="AP398" s="598"/>
      <c r="AQ398" s="598"/>
      <c r="AR398" s="598"/>
      <c r="AS398" s="598"/>
      <c r="AT398" s="598"/>
      <c r="AU398" s="598"/>
    </row>
    <row r="399" spans="1:47" s="3" customFormat="1" ht="16.5" customHeight="1">
      <c r="A399" s="50"/>
      <c r="B399" s="137"/>
      <c r="C399" s="138"/>
      <c r="D399" s="22"/>
      <c r="E399" s="16"/>
      <c r="F399" s="27"/>
      <c r="G399" s="27"/>
      <c r="H399" s="36"/>
      <c r="I399" s="598"/>
      <c r="J399" s="598"/>
      <c r="K399" s="598"/>
      <c r="L399" s="598"/>
      <c r="M399" s="598"/>
      <c r="N399" s="598"/>
      <c r="O399" s="598"/>
      <c r="P399" s="598"/>
      <c r="Q399" s="598"/>
      <c r="R399" s="598"/>
      <c r="S399" s="598"/>
      <c r="T399" s="598"/>
      <c r="U399" s="598"/>
      <c r="V399" s="598"/>
      <c r="W399" s="598"/>
      <c r="X399" s="598"/>
      <c r="Y399" s="598"/>
      <c r="Z399" s="598"/>
      <c r="AA399" s="598"/>
      <c r="AB399" s="598"/>
      <c r="AC399" s="598"/>
      <c r="AD399" s="598"/>
      <c r="AE399" s="598"/>
      <c r="AF399" s="598"/>
      <c r="AG399" s="598"/>
      <c r="AH399" s="598"/>
      <c r="AI399" s="598"/>
      <c r="AJ399" s="598"/>
      <c r="AK399" s="598"/>
      <c r="AL399" s="598"/>
      <c r="AM399" s="598"/>
      <c r="AN399" s="598"/>
      <c r="AO399" s="598"/>
      <c r="AP399" s="598"/>
      <c r="AQ399" s="598"/>
      <c r="AR399" s="598"/>
      <c r="AS399" s="598"/>
      <c r="AT399" s="598"/>
      <c r="AU399" s="598"/>
    </row>
    <row r="400" spans="1:47" s="3" customFormat="1" ht="16.5" customHeight="1">
      <c r="A400" s="101" t="s">
        <v>510</v>
      </c>
      <c r="B400" s="137"/>
      <c r="C400" s="138"/>
      <c r="D400" s="22"/>
      <c r="E400" s="16"/>
      <c r="F400" s="27"/>
      <c r="G400" s="27"/>
      <c r="H400" s="25">
        <f>H402</f>
        <v>45200</v>
      </c>
      <c r="I400" s="598"/>
      <c r="J400" s="598"/>
      <c r="K400" s="598"/>
      <c r="L400" s="598"/>
      <c r="M400" s="598"/>
      <c r="N400" s="598"/>
      <c r="O400" s="598"/>
      <c r="P400" s="598"/>
      <c r="Q400" s="598"/>
      <c r="R400" s="598"/>
      <c r="S400" s="598"/>
      <c r="T400" s="598"/>
      <c r="U400" s="598"/>
      <c r="V400" s="598"/>
      <c r="W400" s="598"/>
      <c r="X400" s="598"/>
      <c r="Y400" s="598"/>
      <c r="Z400" s="598"/>
      <c r="AA400" s="598"/>
      <c r="AB400" s="598"/>
      <c r="AC400" s="598"/>
      <c r="AD400" s="598"/>
      <c r="AE400" s="598"/>
      <c r="AF400" s="598"/>
      <c r="AG400" s="598"/>
      <c r="AH400" s="598"/>
      <c r="AI400" s="598"/>
      <c r="AJ400" s="598"/>
      <c r="AK400" s="598"/>
      <c r="AL400" s="598"/>
      <c r="AM400" s="598"/>
      <c r="AN400" s="598"/>
      <c r="AO400" s="598"/>
      <c r="AP400" s="598"/>
      <c r="AQ400" s="598"/>
      <c r="AR400" s="598"/>
      <c r="AS400" s="598"/>
      <c r="AT400" s="598"/>
      <c r="AU400" s="598"/>
    </row>
    <row r="401" spans="1:8" ht="15.75" customHeight="1">
      <c r="A401" s="28" t="s">
        <v>4</v>
      </c>
      <c r="H401" s="67"/>
    </row>
    <row r="402" spans="2:8" ht="15.75">
      <c r="B402" s="137" t="s">
        <v>506</v>
      </c>
      <c r="C402" s="138"/>
      <c r="D402" s="22"/>
      <c r="E402" s="16"/>
      <c r="F402" s="27"/>
      <c r="H402" s="1">
        <v>45200</v>
      </c>
    </row>
    <row r="403" ht="18.75">
      <c r="H403" s="67"/>
    </row>
    <row r="404" spans="1:47" s="3" customFormat="1" ht="16.5" customHeight="1">
      <c r="A404" s="50"/>
      <c r="B404" s="137"/>
      <c r="C404" s="138"/>
      <c r="D404" s="22"/>
      <c r="E404" s="16"/>
      <c r="F404" s="27"/>
      <c r="G404" s="27"/>
      <c r="H404" s="36"/>
      <c r="I404" s="598"/>
      <c r="J404" s="598"/>
      <c r="K404" s="598"/>
      <c r="L404" s="598"/>
      <c r="M404" s="598"/>
      <c r="N404" s="598"/>
      <c r="O404" s="598"/>
      <c r="P404" s="598"/>
      <c r="Q404" s="598"/>
      <c r="R404" s="598"/>
      <c r="S404" s="598"/>
      <c r="T404" s="598"/>
      <c r="U404" s="598"/>
      <c r="V404" s="598"/>
      <c r="W404" s="598"/>
      <c r="X404" s="598"/>
      <c r="Y404" s="598"/>
      <c r="Z404" s="598"/>
      <c r="AA404" s="598"/>
      <c r="AB404" s="598"/>
      <c r="AC404" s="598"/>
      <c r="AD404" s="598"/>
      <c r="AE404" s="598"/>
      <c r="AF404" s="598"/>
      <c r="AG404" s="598"/>
      <c r="AH404" s="598"/>
      <c r="AI404" s="598"/>
      <c r="AJ404" s="598"/>
      <c r="AK404" s="598"/>
      <c r="AL404" s="598"/>
      <c r="AM404" s="598"/>
      <c r="AN404" s="598"/>
      <c r="AO404" s="598"/>
      <c r="AP404" s="598"/>
      <c r="AQ404" s="598"/>
      <c r="AR404" s="598"/>
      <c r="AS404" s="598"/>
      <c r="AT404" s="598"/>
      <c r="AU404" s="598"/>
    </row>
    <row r="405" spans="1:47" s="3" customFormat="1" ht="16.5" customHeight="1">
      <c r="A405" s="50"/>
      <c r="B405" s="137"/>
      <c r="C405" s="138"/>
      <c r="D405" s="22"/>
      <c r="E405" s="16"/>
      <c r="F405" s="27"/>
      <c r="G405" s="27"/>
      <c r="H405" s="36"/>
      <c r="I405" s="598"/>
      <c r="J405" s="598"/>
      <c r="K405" s="598"/>
      <c r="L405" s="598"/>
      <c r="M405" s="598"/>
      <c r="N405" s="598"/>
      <c r="O405" s="598"/>
      <c r="P405" s="598"/>
      <c r="Q405" s="598"/>
      <c r="R405" s="598"/>
      <c r="S405" s="598"/>
      <c r="T405" s="598"/>
      <c r="U405" s="598"/>
      <c r="V405" s="598"/>
      <c r="W405" s="598"/>
      <c r="X405" s="598"/>
      <c r="Y405" s="598"/>
      <c r="Z405" s="598"/>
      <c r="AA405" s="598"/>
      <c r="AB405" s="598"/>
      <c r="AC405" s="598"/>
      <c r="AD405" s="598"/>
      <c r="AE405" s="598"/>
      <c r="AF405" s="598"/>
      <c r="AG405" s="598"/>
      <c r="AH405" s="598"/>
      <c r="AI405" s="598"/>
      <c r="AJ405" s="598"/>
      <c r="AK405" s="598"/>
      <c r="AL405" s="598"/>
      <c r="AM405" s="598"/>
      <c r="AN405" s="598"/>
      <c r="AO405" s="598"/>
      <c r="AP405" s="598"/>
      <c r="AQ405" s="598"/>
      <c r="AR405" s="598"/>
      <c r="AS405" s="598"/>
      <c r="AT405" s="598"/>
      <c r="AU405" s="598"/>
    </row>
    <row r="406" spans="1:47" s="3" customFormat="1" ht="16.5" customHeight="1">
      <c r="A406" s="134" t="s">
        <v>64</v>
      </c>
      <c r="B406" s="137"/>
      <c r="C406" s="138"/>
      <c r="D406" s="22"/>
      <c r="E406" s="16"/>
      <c r="F406" s="27"/>
      <c r="G406" s="27"/>
      <c r="H406" s="36"/>
      <c r="I406" s="598"/>
      <c r="J406" s="598"/>
      <c r="K406" s="598"/>
      <c r="L406" s="598"/>
      <c r="M406" s="598"/>
      <c r="N406" s="598"/>
      <c r="O406" s="598"/>
      <c r="P406" s="598"/>
      <c r="Q406" s="598"/>
      <c r="R406" s="598"/>
      <c r="S406" s="598"/>
      <c r="T406" s="598"/>
      <c r="U406" s="598"/>
      <c r="V406" s="598"/>
      <c r="W406" s="598"/>
      <c r="X406" s="598"/>
      <c r="Y406" s="598"/>
      <c r="Z406" s="598"/>
      <c r="AA406" s="598"/>
      <c r="AB406" s="598"/>
      <c r="AC406" s="598"/>
      <c r="AD406" s="598"/>
      <c r="AE406" s="598"/>
      <c r="AF406" s="598"/>
      <c r="AG406" s="598"/>
      <c r="AH406" s="598"/>
      <c r="AI406" s="598"/>
      <c r="AJ406" s="598"/>
      <c r="AK406" s="598"/>
      <c r="AL406" s="598"/>
      <c r="AM406" s="598"/>
      <c r="AN406" s="598"/>
      <c r="AO406" s="598"/>
      <c r="AP406" s="598"/>
      <c r="AQ406" s="598"/>
      <c r="AR406" s="598"/>
      <c r="AS406" s="598"/>
      <c r="AT406" s="598"/>
      <c r="AU406" s="598"/>
    </row>
    <row r="407" spans="1:47" s="3" customFormat="1" ht="16.5" customHeight="1">
      <c r="A407" s="134"/>
      <c r="B407" s="137"/>
      <c r="C407" s="138"/>
      <c r="D407" s="22"/>
      <c r="E407" s="16"/>
      <c r="F407" s="27"/>
      <c r="G407" s="27"/>
      <c r="H407" s="36"/>
      <c r="I407" s="598"/>
      <c r="J407" s="598"/>
      <c r="K407" s="598"/>
      <c r="L407" s="598"/>
      <c r="M407" s="598"/>
      <c r="N407" s="598"/>
      <c r="O407" s="598"/>
      <c r="P407" s="598"/>
      <c r="Q407" s="598"/>
      <c r="R407" s="598"/>
      <c r="S407" s="598"/>
      <c r="T407" s="598"/>
      <c r="U407" s="598"/>
      <c r="V407" s="598"/>
      <c r="W407" s="598"/>
      <c r="X407" s="598"/>
      <c r="Y407" s="598"/>
      <c r="Z407" s="598"/>
      <c r="AA407" s="598"/>
      <c r="AB407" s="598"/>
      <c r="AC407" s="598"/>
      <c r="AD407" s="598"/>
      <c r="AE407" s="598"/>
      <c r="AF407" s="598"/>
      <c r="AG407" s="598"/>
      <c r="AH407" s="598"/>
      <c r="AI407" s="598"/>
      <c r="AJ407" s="598"/>
      <c r="AK407" s="598"/>
      <c r="AL407" s="598"/>
      <c r="AM407" s="598"/>
      <c r="AN407" s="598"/>
      <c r="AO407" s="598"/>
      <c r="AP407" s="598"/>
      <c r="AQ407" s="598"/>
      <c r="AR407" s="598"/>
      <c r="AS407" s="598"/>
      <c r="AT407" s="598"/>
      <c r="AU407" s="598"/>
    </row>
    <row r="408" spans="1:47" s="3" customFormat="1" ht="16.5" customHeight="1">
      <c r="A408" s="134" t="s">
        <v>406</v>
      </c>
      <c r="B408" s="137"/>
      <c r="C408" s="138"/>
      <c r="D408" s="22"/>
      <c r="E408" s="16"/>
      <c r="F408" s="27"/>
      <c r="G408" s="27"/>
      <c r="H408" s="37">
        <f>H410</f>
        <v>45200</v>
      </c>
      <c r="I408" s="598"/>
      <c r="J408" s="598"/>
      <c r="K408" s="598"/>
      <c r="L408" s="598"/>
      <c r="M408" s="598"/>
      <c r="N408" s="598"/>
      <c r="O408" s="598"/>
      <c r="P408" s="598"/>
      <c r="Q408" s="598"/>
      <c r="R408" s="598"/>
      <c r="S408" s="598"/>
      <c r="T408" s="598"/>
      <c r="U408" s="598"/>
      <c r="V408" s="598"/>
      <c r="W408" s="598"/>
      <c r="X408" s="598"/>
      <c r="Y408" s="598"/>
      <c r="Z408" s="598"/>
      <c r="AA408" s="598"/>
      <c r="AB408" s="598"/>
      <c r="AC408" s="598"/>
      <c r="AD408" s="598"/>
      <c r="AE408" s="598"/>
      <c r="AF408" s="598"/>
      <c r="AG408" s="598"/>
      <c r="AH408" s="598"/>
      <c r="AI408" s="598"/>
      <c r="AJ408" s="598"/>
      <c r="AK408" s="598"/>
      <c r="AL408" s="598"/>
      <c r="AM408" s="598"/>
      <c r="AN408" s="598"/>
      <c r="AO408" s="598"/>
      <c r="AP408" s="598"/>
      <c r="AQ408" s="598"/>
      <c r="AR408" s="598"/>
      <c r="AS408" s="598"/>
      <c r="AT408" s="598"/>
      <c r="AU408" s="598"/>
    </row>
    <row r="409" spans="1:47" s="3" customFormat="1" ht="16.5" customHeight="1">
      <c r="A409" s="610" t="s">
        <v>4</v>
      </c>
      <c r="B409" s="137"/>
      <c r="C409" s="138"/>
      <c r="D409" s="22"/>
      <c r="E409" s="16"/>
      <c r="F409" s="27"/>
      <c r="G409" s="27"/>
      <c r="H409" s="25"/>
      <c r="I409" s="598"/>
      <c r="J409" s="598"/>
      <c r="K409" s="598"/>
      <c r="L409" s="598"/>
      <c r="M409" s="598"/>
      <c r="N409" s="598"/>
      <c r="O409" s="598"/>
      <c r="P409" s="598"/>
      <c r="Q409" s="598"/>
      <c r="R409" s="598"/>
      <c r="S409" s="598"/>
      <c r="T409" s="598"/>
      <c r="U409" s="598"/>
      <c r="V409" s="598"/>
      <c r="W409" s="598"/>
      <c r="X409" s="598"/>
      <c r="Y409" s="598"/>
      <c r="Z409" s="598"/>
      <c r="AA409" s="598"/>
      <c r="AB409" s="598"/>
      <c r="AC409" s="598"/>
      <c r="AD409" s="598"/>
      <c r="AE409" s="598"/>
      <c r="AF409" s="598"/>
      <c r="AG409" s="598"/>
      <c r="AH409" s="598"/>
      <c r="AI409" s="598"/>
      <c r="AJ409" s="598"/>
      <c r="AK409" s="598"/>
      <c r="AL409" s="598"/>
      <c r="AM409" s="598"/>
      <c r="AN409" s="598"/>
      <c r="AO409" s="598"/>
      <c r="AP409" s="598"/>
      <c r="AQ409" s="598"/>
      <c r="AR409" s="598"/>
      <c r="AS409" s="598"/>
      <c r="AT409" s="598"/>
      <c r="AU409" s="598"/>
    </row>
    <row r="410" spans="1:47" s="3" customFormat="1" ht="16.5" customHeight="1">
      <c r="A410" s="101" t="s">
        <v>505</v>
      </c>
      <c r="B410" s="137"/>
      <c r="C410" s="138"/>
      <c r="D410" s="22"/>
      <c r="E410" s="16"/>
      <c r="F410" s="27"/>
      <c r="G410" s="27"/>
      <c r="H410" s="25">
        <f>H412</f>
        <v>45200</v>
      </c>
      <c r="I410" s="598"/>
      <c r="J410" s="598"/>
      <c r="K410" s="598"/>
      <c r="L410" s="598"/>
      <c r="M410" s="598"/>
      <c r="N410" s="598"/>
      <c r="O410" s="598"/>
      <c r="P410" s="598"/>
      <c r="Q410" s="598"/>
      <c r="R410" s="598"/>
      <c r="S410" s="598"/>
      <c r="T410" s="598"/>
      <c r="U410" s="598"/>
      <c r="V410" s="598"/>
      <c r="W410" s="598"/>
      <c r="X410" s="598"/>
      <c r="Y410" s="598"/>
      <c r="Z410" s="598"/>
      <c r="AA410" s="598"/>
      <c r="AB410" s="598"/>
      <c r="AC410" s="598"/>
      <c r="AD410" s="598"/>
      <c r="AE410" s="598"/>
      <c r="AF410" s="598"/>
      <c r="AG410" s="598"/>
      <c r="AH410" s="598"/>
      <c r="AI410" s="598"/>
      <c r="AJ410" s="598"/>
      <c r="AK410" s="598"/>
      <c r="AL410" s="598"/>
      <c r="AM410" s="598"/>
      <c r="AN410" s="598"/>
      <c r="AO410" s="598"/>
      <c r="AP410" s="598"/>
      <c r="AQ410" s="598"/>
      <c r="AR410" s="598"/>
      <c r="AS410" s="598"/>
      <c r="AT410" s="598"/>
      <c r="AU410" s="598"/>
    </row>
    <row r="411" spans="1:47" s="3" customFormat="1" ht="16.5" customHeight="1">
      <c r="A411" s="101" t="s">
        <v>4</v>
      </c>
      <c r="B411" s="137"/>
      <c r="C411" s="138"/>
      <c r="D411" s="22"/>
      <c r="E411" s="16"/>
      <c r="F411" s="27"/>
      <c r="G411" s="27"/>
      <c r="H411" s="36"/>
      <c r="I411" s="598"/>
      <c r="J411" s="598"/>
      <c r="K411" s="598"/>
      <c r="L411" s="598"/>
      <c r="M411" s="598"/>
      <c r="N411" s="598"/>
      <c r="O411" s="598"/>
      <c r="P411" s="598"/>
      <c r="Q411" s="598"/>
      <c r="R411" s="598"/>
      <c r="S411" s="598"/>
      <c r="T411" s="598"/>
      <c r="U411" s="598"/>
      <c r="V411" s="598"/>
      <c r="W411" s="598"/>
      <c r="X411" s="598"/>
      <c r="Y411" s="598"/>
      <c r="Z411" s="598"/>
      <c r="AA411" s="598"/>
      <c r="AB411" s="598"/>
      <c r="AC411" s="598"/>
      <c r="AD411" s="598"/>
      <c r="AE411" s="598"/>
      <c r="AF411" s="598"/>
      <c r="AG411" s="598"/>
      <c r="AH411" s="598"/>
      <c r="AI411" s="598"/>
      <c r="AJ411" s="598"/>
      <c r="AK411" s="598"/>
      <c r="AL411" s="598"/>
      <c r="AM411" s="598"/>
      <c r="AN411" s="598"/>
      <c r="AO411" s="598"/>
      <c r="AP411" s="598"/>
      <c r="AQ411" s="598"/>
      <c r="AR411" s="598"/>
      <c r="AS411" s="598"/>
      <c r="AT411" s="598"/>
      <c r="AU411" s="598"/>
    </row>
    <row r="412" spans="1:47" s="3" customFormat="1" ht="16.5" customHeight="1">
      <c r="A412" s="134"/>
      <c r="B412" s="137" t="s">
        <v>296</v>
      </c>
      <c r="C412" s="138"/>
      <c r="D412" s="22"/>
      <c r="E412" s="16"/>
      <c r="F412" s="27"/>
      <c r="G412" s="27"/>
      <c r="H412" s="36">
        <v>45200</v>
      </c>
      <c r="I412" s="598"/>
      <c r="J412" s="598"/>
      <c r="K412" s="598"/>
      <c r="L412" s="598"/>
      <c r="M412" s="598"/>
      <c r="N412" s="598"/>
      <c r="O412" s="598"/>
      <c r="P412" s="598"/>
      <c r="Q412" s="598"/>
      <c r="R412" s="598"/>
      <c r="S412" s="598"/>
      <c r="T412" s="598"/>
      <c r="U412" s="598"/>
      <c r="V412" s="598"/>
      <c r="W412" s="598"/>
      <c r="X412" s="598"/>
      <c r="Y412" s="598"/>
      <c r="Z412" s="598"/>
      <c r="AA412" s="598"/>
      <c r="AB412" s="598"/>
      <c r="AC412" s="598"/>
      <c r="AD412" s="598"/>
      <c r="AE412" s="598"/>
      <c r="AF412" s="598"/>
      <c r="AG412" s="598"/>
      <c r="AH412" s="598"/>
      <c r="AI412" s="598"/>
      <c r="AJ412" s="598"/>
      <c r="AK412" s="598"/>
      <c r="AL412" s="598"/>
      <c r="AM412" s="598"/>
      <c r="AN412" s="598"/>
      <c r="AO412" s="598"/>
      <c r="AP412" s="598"/>
      <c r="AQ412" s="598"/>
      <c r="AR412" s="598"/>
      <c r="AS412" s="598"/>
      <c r="AT412" s="598"/>
      <c r="AU412" s="598"/>
    </row>
    <row r="413" spans="1:47" s="3" customFormat="1" ht="16.5" customHeight="1">
      <c r="A413" s="134"/>
      <c r="B413" s="137"/>
      <c r="C413" s="138"/>
      <c r="D413" s="22"/>
      <c r="E413" s="16"/>
      <c r="F413" s="27"/>
      <c r="G413" s="27"/>
      <c r="H413" s="36"/>
      <c r="I413" s="598"/>
      <c r="J413" s="598"/>
      <c r="K413" s="598"/>
      <c r="L413" s="598"/>
      <c r="M413" s="598"/>
      <c r="N413" s="598"/>
      <c r="O413" s="598"/>
      <c r="P413" s="598"/>
      <c r="Q413" s="598"/>
      <c r="R413" s="598"/>
      <c r="S413" s="598"/>
      <c r="T413" s="598"/>
      <c r="U413" s="598"/>
      <c r="V413" s="598"/>
      <c r="W413" s="598"/>
      <c r="X413" s="598"/>
      <c r="Y413" s="598"/>
      <c r="Z413" s="598"/>
      <c r="AA413" s="598"/>
      <c r="AB413" s="598"/>
      <c r="AC413" s="598"/>
      <c r="AD413" s="598"/>
      <c r="AE413" s="598"/>
      <c r="AF413" s="598"/>
      <c r="AG413" s="598"/>
      <c r="AH413" s="598"/>
      <c r="AI413" s="598"/>
      <c r="AJ413" s="598"/>
      <c r="AK413" s="598"/>
      <c r="AL413" s="598"/>
      <c r="AM413" s="598"/>
      <c r="AN413" s="598"/>
      <c r="AO413" s="598"/>
      <c r="AP413" s="598"/>
      <c r="AQ413" s="598"/>
      <c r="AR413" s="598"/>
      <c r="AS413" s="598"/>
      <c r="AT413" s="598"/>
      <c r="AU413" s="598"/>
    </row>
    <row r="414" spans="1:47" s="3" customFormat="1" ht="16.5" customHeight="1">
      <c r="A414" s="134"/>
      <c r="B414" s="137"/>
      <c r="C414" s="138"/>
      <c r="D414" s="22"/>
      <c r="E414" s="16"/>
      <c r="F414" s="27"/>
      <c r="G414" s="27"/>
      <c r="H414" s="36"/>
      <c r="I414" s="598"/>
      <c r="J414" s="598"/>
      <c r="K414" s="598"/>
      <c r="L414" s="598"/>
      <c r="M414" s="598"/>
      <c r="N414" s="598"/>
      <c r="O414" s="598"/>
      <c r="P414" s="598"/>
      <c r="Q414" s="598"/>
      <c r="R414" s="598"/>
      <c r="S414" s="598"/>
      <c r="T414" s="598"/>
      <c r="U414" s="598"/>
      <c r="V414" s="598"/>
      <c r="W414" s="598"/>
      <c r="X414" s="598"/>
      <c r="Y414" s="598"/>
      <c r="Z414" s="598"/>
      <c r="AA414" s="598"/>
      <c r="AB414" s="598"/>
      <c r="AC414" s="598"/>
      <c r="AD414" s="598"/>
      <c r="AE414" s="598"/>
      <c r="AF414" s="598"/>
      <c r="AG414" s="598"/>
      <c r="AH414" s="598"/>
      <c r="AI414" s="598"/>
      <c r="AJ414" s="598"/>
      <c r="AK414" s="598"/>
      <c r="AL414" s="598"/>
      <c r="AM414" s="598"/>
      <c r="AN414" s="598"/>
      <c r="AO414" s="598"/>
      <c r="AP414" s="598"/>
      <c r="AQ414" s="598"/>
      <c r="AR414" s="598"/>
      <c r="AS414" s="598"/>
      <c r="AT414" s="598"/>
      <c r="AU414" s="598"/>
    </row>
    <row r="415" spans="1:47" s="3" customFormat="1" ht="16.5" customHeight="1">
      <c r="A415" s="136" t="s">
        <v>17</v>
      </c>
      <c r="B415" s="137"/>
      <c r="C415" s="138"/>
      <c r="D415" s="22"/>
      <c r="E415" s="16"/>
      <c r="F415" s="27"/>
      <c r="G415" s="27"/>
      <c r="H415" s="25">
        <f>H417</f>
        <v>20000</v>
      </c>
      <c r="I415" s="598"/>
      <c r="J415" s="598"/>
      <c r="K415" s="598"/>
      <c r="L415" s="598"/>
      <c r="M415" s="598"/>
      <c r="N415" s="598"/>
      <c r="O415" s="598"/>
      <c r="P415" s="598"/>
      <c r="Q415" s="598"/>
      <c r="R415" s="598"/>
      <c r="S415" s="598"/>
      <c r="T415" s="598"/>
      <c r="U415" s="598"/>
      <c r="V415" s="598"/>
      <c r="W415" s="598"/>
      <c r="X415" s="598"/>
      <c r="Y415" s="598"/>
      <c r="Z415" s="598"/>
      <c r="AA415" s="598"/>
      <c r="AB415" s="598"/>
      <c r="AC415" s="598"/>
      <c r="AD415" s="598"/>
      <c r="AE415" s="598"/>
      <c r="AF415" s="598"/>
      <c r="AG415" s="598"/>
      <c r="AH415" s="598"/>
      <c r="AI415" s="598"/>
      <c r="AJ415" s="598"/>
      <c r="AK415" s="598"/>
      <c r="AL415" s="598"/>
      <c r="AM415" s="598"/>
      <c r="AN415" s="598"/>
      <c r="AO415" s="598"/>
      <c r="AP415" s="598"/>
      <c r="AQ415" s="598"/>
      <c r="AR415" s="598"/>
      <c r="AS415" s="598"/>
      <c r="AT415" s="598"/>
      <c r="AU415" s="598"/>
    </row>
    <row r="416" spans="1:47" s="3" customFormat="1" ht="16.5" customHeight="1">
      <c r="A416" s="50"/>
      <c r="B416" s="137"/>
      <c r="C416" s="138"/>
      <c r="D416" s="22"/>
      <c r="E416" s="16"/>
      <c r="F416" s="27"/>
      <c r="G416" s="27"/>
      <c r="H416" s="36"/>
      <c r="I416" s="598"/>
      <c r="J416" s="598"/>
      <c r="K416" s="598"/>
      <c r="L416" s="598"/>
      <c r="M416" s="598"/>
      <c r="N416" s="598"/>
      <c r="O416" s="598"/>
      <c r="P416" s="598"/>
      <c r="Q416" s="598"/>
      <c r="R416" s="598"/>
      <c r="S416" s="598"/>
      <c r="T416" s="598"/>
      <c r="U416" s="598"/>
      <c r="V416" s="598"/>
      <c r="W416" s="598"/>
      <c r="X416" s="598"/>
      <c r="Y416" s="598"/>
      <c r="Z416" s="598"/>
      <c r="AA416" s="598"/>
      <c r="AB416" s="598"/>
      <c r="AC416" s="598"/>
      <c r="AD416" s="598"/>
      <c r="AE416" s="598"/>
      <c r="AF416" s="598"/>
      <c r="AG416" s="598"/>
      <c r="AH416" s="598"/>
      <c r="AI416" s="598"/>
      <c r="AJ416" s="598"/>
      <c r="AK416" s="598"/>
      <c r="AL416" s="598"/>
      <c r="AM416" s="598"/>
      <c r="AN416" s="598"/>
      <c r="AO416" s="598"/>
      <c r="AP416" s="598"/>
      <c r="AQ416" s="598"/>
      <c r="AR416" s="598"/>
      <c r="AS416" s="598"/>
      <c r="AT416" s="598"/>
      <c r="AU416" s="598"/>
    </row>
    <row r="417" spans="1:47" s="3" customFormat="1" ht="16.5" customHeight="1">
      <c r="A417" s="101" t="s">
        <v>451</v>
      </c>
      <c r="B417" s="137"/>
      <c r="C417" s="138"/>
      <c r="D417" s="22"/>
      <c r="E417" s="16"/>
      <c r="F417" s="27"/>
      <c r="G417" s="27"/>
      <c r="H417" s="25">
        <f>H419</f>
        <v>20000</v>
      </c>
      <c r="I417" s="598"/>
      <c r="J417" s="598"/>
      <c r="K417" s="598"/>
      <c r="L417" s="598"/>
      <c r="M417" s="598"/>
      <c r="N417" s="598"/>
      <c r="O417" s="598"/>
      <c r="P417" s="598"/>
      <c r="Q417" s="598"/>
      <c r="R417" s="598"/>
      <c r="S417" s="598"/>
      <c r="T417" s="598"/>
      <c r="U417" s="598"/>
      <c r="V417" s="598"/>
      <c r="W417" s="598"/>
      <c r="X417" s="598"/>
      <c r="Y417" s="598"/>
      <c r="Z417" s="598"/>
      <c r="AA417" s="598"/>
      <c r="AB417" s="598"/>
      <c r="AC417" s="598"/>
      <c r="AD417" s="598"/>
      <c r="AE417" s="598"/>
      <c r="AF417" s="598"/>
      <c r="AG417" s="598"/>
      <c r="AH417" s="598"/>
      <c r="AI417" s="598"/>
      <c r="AJ417" s="598"/>
      <c r="AK417" s="598"/>
      <c r="AL417" s="598"/>
      <c r="AM417" s="598"/>
      <c r="AN417" s="598"/>
      <c r="AO417" s="598"/>
      <c r="AP417" s="598"/>
      <c r="AQ417" s="598"/>
      <c r="AR417" s="598"/>
      <c r="AS417" s="598"/>
      <c r="AT417" s="598"/>
      <c r="AU417" s="598"/>
    </row>
    <row r="418" spans="1:47" s="3" customFormat="1" ht="16.5" customHeight="1">
      <c r="A418" s="50" t="s">
        <v>4</v>
      </c>
      <c r="B418" s="137"/>
      <c r="C418" s="138"/>
      <c r="D418" s="22"/>
      <c r="E418" s="16"/>
      <c r="F418" s="27"/>
      <c r="G418" s="27"/>
      <c r="H418" s="36"/>
      <c r="I418" s="598"/>
      <c r="J418" s="598"/>
      <c r="K418" s="598"/>
      <c r="L418" s="598"/>
      <c r="M418" s="598"/>
      <c r="N418" s="598"/>
      <c r="O418" s="598"/>
      <c r="P418" s="598"/>
      <c r="Q418" s="598"/>
      <c r="R418" s="598"/>
      <c r="S418" s="598"/>
      <c r="T418" s="598"/>
      <c r="U418" s="598"/>
      <c r="V418" s="598"/>
      <c r="W418" s="598"/>
      <c r="X418" s="598"/>
      <c r="Y418" s="598"/>
      <c r="Z418" s="598"/>
      <c r="AA418" s="598"/>
      <c r="AB418" s="598"/>
      <c r="AC418" s="598"/>
      <c r="AD418" s="598"/>
      <c r="AE418" s="598"/>
      <c r="AF418" s="598"/>
      <c r="AG418" s="598"/>
      <c r="AH418" s="598"/>
      <c r="AI418" s="598"/>
      <c r="AJ418" s="598"/>
      <c r="AK418" s="598"/>
      <c r="AL418" s="598"/>
      <c r="AM418" s="598"/>
      <c r="AN418" s="598"/>
      <c r="AO418" s="598"/>
      <c r="AP418" s="598"/>
      <c r="AQ418" s="598"/>
      <c r="AR418" s="598"/>
      <c r="AS418" s="598"/>
      <c r="AT418" s="598"/>
      <c r="AU418" s="598"/>
    </row>
    <row r="419" spans="1:47" s="3" customFormat="1" ht="16.5" customHeight="1">
      <c r="A419" s="50"/>
      <c r="B419" s="137" t="s">
        <v>452</v>
      </c>
      <c r="C419" s="138"/>
      <c r="D419" s="22"/>
      <c r="E419" s="16"/>
      <c r="F419" s="27"/>
      <c r="G419" s="27"/>
      <c r="H419" s="36">
        <v>20000</v>
      </c>
      <c r="I419" s="598"/>
      <c r="J419" s="598"/>
      <c r="K419" s="598"/>
      <c r="L419" s="598"/>
      <c r="M419" s="598"/>
      <c r="N419" s="598"/>
      <c r="O419" s="598"/>
      <c r="P419" s="598"/>
      <c r="Q419" s="598"/>
      <c r="R419" s="598"/>
      <c r="S419" s="598"/>
      <c r="T419" s="598"/>
      <c r="U419" s="598"/>
      <c r="V419" s="598"/>
      <c r="W419" s="598"/>
      <c r="X419" s="598"/>
      <c r="Y419" s="598"/>
      <c r="Z419" s="598"/>
      <c r="AA419" s="598"/>
      <c r="AB419" s="598"/>
      <c r="AC419" s="598"/>
      <c r="AD419" s="598"/>
      <c r="AE419" s="598"/>
      <c r="AF419" s="598"/>
      <c r="AG419" s="598"/>
      <c r="AH419" s="598"/>
      <c r="AI419" s="598"/>
      <c r="AJ419" s="598"/>
      <c r="AK419" s="598"/>
      <c r="AL419" s="598"/>
      <c r="AM419" s="598"/>
      <c r="AN419" s="598"/>
      <c r="AO419" s="598"/>
      <c r="AP419" s="598"/>
      <c r="AQ419" s="598"/>
      <c r="AR419" s="598"/>
      <c r="AS419" s="598"/>
      <c r="AT419" s="598"/>
      <c r="AU419" s="598"/>
    </row>
    <row r="420" spans="1:47" s="3" customFormat="1" ht="16.5" customHeight="1">
      <c r="A420" s="50"/>
      <c r="B420" s="137"/>
      <c r="C420" s="138"/>
      <c r="D420" s="22"/>
      <c r="E420" s="16"/>
      <c r="F420" s="27"/>
      <c r="G420" s="27"/>
      <c r="H420" s="36"/>
      <c r="I420" s="598"/>
      <c r="J420" s="598"/>
      <c r="K420" s="598"/>
      <c r="L420" s="598"/>
      <c r="M420" s="598"/>
      <c r="N420" s="598"/>
      <c r="O420" s="598"/>
      <c r="P420" s="598"/>
      <c r="Q420" s="598"/>
      <c r="R420" s="598"/>
      <c r="S420" s="598"/>
      <c r="T420" s="598"/>
      <c r="U420" s="598"/>
      <c r="V420" s="598"/>
      <c r="W420" s="598"/>
      <c r="X420" s="598"/>
      <c r="Y420" s="598"/>
      <c r="Z420" s="598"/>
      <c r="AA420" s="598"/>
      <c r="AB420" s="598"/>
      <c r="AC420" s="598"/>
      <c r="AD420" s="598"/>
      <c r="AE420" s="598"/>
      <c r="AF420" s="598"/>
      <c r="AG420" s="598"/>
      <c r="AH420" s="598"/>
      <c r="AI420" s="598"/>
      <c r="AJ420" s="598"/>
      <c r="AK420" s="598"/>
      <c r="AL420" s="598"/>
      <c r="AM420" s="598"/>
      <c r="AN420" s="598"/>
      <c r="AO420" s="598"/>
      <c r="AP420" s="598"/>
      <c r="AQ420" s="598"/>
      <c r="AR420" s="598"/>
      <c r="AS420" s="598"/>
      <c r="AT420" s="598"/>
      <c r="AU420" s="598"/>
    </row>
    <row r="421" spans="1:47" s="3" customFormat="1" ht="16.5" customHeight="1">
      <c r="A421" s="50"/>
      <c r="B421" s="137"/>
      <c r="C421" s="138"/>
      <c r="D421" s="22"/>
      <c r="E421" s="16"/>
      <c r="F421" s="27"/>
      <c r="G421" s="27"/>
      <c r="H421" s="36"/>
      <c r="I421" s="598"/>
      <c r="J421" s="598"/>
      <c r="K421" s="598"/>
      <c r="L421" s="598"/>
      <c r="M421" s="598"/>
      <c r="N421" s="598"/>
      <c r="O421" s="598"/>
      <c r="P421" s="598"/>
      <c r="Q421" s="598"/>
      <c r="R421" s="598"/>
      <c r="S421" s="598"/>
      <c r="T421" s="598"/>
      <c r="U421" s="598"/>
      <c r="V421" s="598"/>
      <c r="W421" s="598"/>
      <c r="X421" s="598"/>
      <c r="Y421" s="598"/>
      <c r="Z421" s="598"/>
      <c r="AA421" s="598"/>
      <c r="AB421" s="598"/>
      <c r="AC421" s="598"/>
      <c r="AD421" s="598"/>
      <c r="AE421" s="598"/>
      <c r="AF421" s="598"/>
      <c r="AG421" s="598"/>
      <c r="AH421" s="598"/>
      <c r="AI421" s="598"/>
      <c r="AJ421" s="598"/>
      <c r="AK421" s="598"/>
      <c r="AL421" s="598"/>
      <c r="AM421" s="598"/>
      <c r="AN421" s="598"/>
      <c r="AO421" s="598"/>
      <c r="AP421" s="598"/>
      <c r="AQ421" s="598"/>
      <c r="AR421" s="598"/>
      <c r="AS421" s="598"/>
      <c r="AT421" s="598"/>
      <c r="AU421" s="598"/>
    </row>
    <row r="422" spans="1:47" s="3" customFormat="1" ht="17.25" customHeight="1">
      <c r="A422" s="139" t="s">
        <v>39</v>
      </c>
      <c r="B422" s="139"/>
      <c r="C422" s="133"/>
      <c r="D422" s="22"/>
      <c r="E422" s="16"/>
      <c r="F422" s="35"/>
      <c r="G422" s="35"/>
      <c r="H422" s="36"/>
      <c r="I422" s="598"/>
      <c r="J422" s="598"/>
      <c r="K422" s="598"/>
      <c r="L422" s="598"/>
      <c r="M422" s="598"/>
      <c r="N422" s="598"/>
      <c r="O422" s="598"/>
      <c r="P422" s="598"/>
      <c r="Q422" s="598"/>
      <c r="R422" s="598"/>
      <c r="S422" s="598"/>
      <c r="T422" s="598"/>
      <c r="U422" s="598"/>
      <c r="V422" s="598"/>
      <c r="W422" s="598"/>
      <c r="X422" s="598"/>
      <c r="Y422" s="598"/>
      <c r="Z422" s="598"/>
      <c r="AA422" s="598"/>
      <c r="AB422" s="598"/>
      <c r="AC422" s="598"/>
      <c r="AD422" s="598"/>
      <c r="AE422" s="598"/>
      <c r="AF422" s="598"/>
      <c r="AG422" s="598"/>
      <c r="AH422" s="598"/>
      <c r="AI422" s="598"/>
      <c r="AJ422" s="598"/>
      <c r="AK422" s="598"/>
      <c r="AL422" s="598"/>
      <c r="AM422" s="598"/>
      <c r="AN422" s="598"/>
      <c r="AO422" s="598"/>
      <c r="AP422" s="598"/>
      <c r="AQ422" s="598"/>
      <c r="AR422" s="598"/>
      <c r="AS422" s="598"/>
      <c r="AT422" s="598"/>
      <c r="AU422" s="598"/>
    </row>
    <row r="423" spans="1:47" s="3" customFormat="1" ht="17.25" customHeight="1">
      <c r="A423" s="139" t="s">
        <v>40</v>
      </c>
      <c r="B423" s="139"/>
      <c r="C423" s="133"/>
      <c r="D423" s="22"/>
      <c r="E423" s="16"/>
      <c r="F423" s="35"/>
      <c r="G423" s="35"/>
      <c r="H423" s="36"/>
      <c r="I423" s="598"/>
      <c r="J423" s="598"/>
      <c r="K423" s="598"/>
      <c r="L423" s="598"/>
      <c r="M423" s="598"/>
      <c r="N423" s="598"/>
      <c r="O423" s="598"/>
      <c r="P423" s="598"/>
      <c r="Q423" s="598"/>
      <c r="R423" s="598"/>
      <c r="S423" s="598"/>
      <c r="T423" s="598"/>
      <c r="U423" s="598"/>
      <c r="V423" s="598"/>
      <c r="W423" s="598"/>
      <c r="X423" s="598"/>
      <c r="Y423" s="598"/>
      <c r="Z423" s="598"/>
      <c r="AA423" s="598"/>
      <c r="AB423" s="598"/>
      <c r="AC423" s="598"/>
      <c r="AD423" s="598"/>
      <c r="AE423" s="598"/>
      <c r="AF423" s="598"/>
      <c r="AG423" s="598"/>
      <c r="AH423" s="598"/>
      <c r="AI423" s="598"/>
      <c r="AJ423" s="598"/>
      <c r="AK423" s="598"/>
      <c r="AL423" s="598"/>
      <c r="AM423" s="598"/>
      <c r="AN423" s="598"/>
      <c r="AO423" s="598"/>
      <c r="AP423" s="598"/>
      <c r="AQ423" s="598"/>
      <c r="AR423" s="598"/>
      <c r="AS423" s="598"/>
      <c r="AT423" s="598"/>
      <c r="AU423" s="598"/>
    </row>
    <row r="424" spans="1:47" s="3" customFormat="1" ht="17.25" customHeight="1">
      <c r="A424" s="139"/>
      <c r="B424" s="139"/>
      <c r="C424" s="133"/>
      <c r="D424" s="22"/>
      <c r="E424" s="16"/>
      <c r="F424" s="35"/>
      <c r="G424" s="35"/>
      <c r="H424" s="36"/>
      <c r="I424" s="598"/>
      <c r="J424" s="598"/>
      <c r="K424" s="598"/>
      <c r="L424" s="598"/>
      <c r="M424" s="598"/>
      <c r="N424" s="598"/>
      <c r="O424" s="598"/>
      <c r="P424" s="598"/>
      <c r="Q424" s="598"/>
      <c r="R424" s="598"/>
      <c r="S424" s="598"/>
      <c r="T424" s="598"/>
      <c r="U424" s="598"/>
      <c r="V424" s="598"/>
      <c r="W424" s="598"/>
      <c r="X424" s="598"/>
      <c r="Y424" s="598"/>
      <c r="Z424" s="598"/>
      <c r="AA424" s="598"/>
      <c r="AB424" s="598"/>
      <c r="AC424" s="598"/>
      <c r="AD424" s="598"/>
      <c r="AE424" s="598"/>
      <c r="AF424" s="598"/>
      <c r="AG424" s="598"/>
      <c r="AH424" s="598"/>
      <c r="AI424" s="598"/>
      <c r="AJ424" s="598"/>
      <c r="AK424" s="598"/>
      <c r="AL424" s="598"/>
      <c r="AM424" s="598"/>
      <c r="AN424" s="598"/>
      <c r="AO424" s="598"/>
      <c r="AP424" s="598"/>
      <c r="AQ424" s="598"/>
      <c r="AR424" s="598"/>
      <c r="AS424" s="598"/>
      <c r="AT424" s="598"/>
      <c r="AU424" s="598"/>
    </row>
    <row r="425" spans="1:47" s="3" customFormat="1" ht="17.25" customHeight="1">
      <c r="A425" s="139"/>
      <c r="B425" s="139"/>
      <c r="C425" s="133"/>
      <c r="D425" s="22"/>
      <c r="E425" s="16"/>
      <c r="F425" s="35"/>
      <c r="G425" s="35"/>
      <c r="H425" s="36"/>
      <c r="I425" s="598"/>
      <c r="J425" s="598"/>
      <c r="K425" s="598"/>
      <c r="L425" s="598"/>
      <c r="M425" s="598"/>
      <c r="N425" s="598"/>
      <c r="O425" s="598"/>
      <c r="P425" s="598"/>
      <c r="Q425" s="598"/>
      <c r="R425" s="598"/>
      <c r="S425" s="598"/>
      <c r="T425" s="598"/>
      <c r="U425" s="598"/>
      <c r="V425" s="598"/>
      <c r="W425" s="598"/>
      <c r="X425" s="598"/>
      <c r="Y425" s="598"/>
      <c r="Z425" s="598"/>
      <c r="AA425" s="598"/>
      <c r="AB425" s="598"/>
      <c r="AC425" s="598"/>
      <c r="AD425" s="598"/>
      <c r="AE425" s="598"/>
      <c r="AF425" s="598"/>
      <c r="AG425" s="598"/>
      <c r="AH425" s="598"/>
      <c r="AI425" s="598"/>
      <c r="AJ425" s="598"/>
      <c r="AK425" s="598"/>
      <c r="AL425" s="598"/>
      <c r="AM425" s="598"/>
      <c r="AN425" s="598"/>
      <c r="AO425" s="598"/>
      <c r="AP425" s="598"/>
      <c r="AQ425" s="598"/>
      <c r="AR425" s="598"/>
      <c r="AS425" s="598"/>
      <c r="AT425" s="598"/>
      <c r="AU425" s="598"/>
    </row>
    <row r="426" spans="1:47" s="3" customFormat="1" ht="17.25" customHeight="1">
      <c r="A426" s="139"/>
      <c r="B426" s="139"/>
      <c r="C426" s="133"/>
      <c r="D426" s="22"/>
      <c r="E426" s="16"/>
      <c r="F426" s="35"/>
      <c r="G426" s="35"/>
      <c r="H426" s="36"/>
      <c r="I426" s="598"/>
      <c r="J426" s="598"/>
      <c r="K426" s="598"/>
      <c r="L426" s="598"/>
      <c r="M426" s="598"/>
      <c r="N426" s="598"/>
      <c r="O426" s="598"/>
      <c r="P426" s="598"/>
      <c r="Q426" s="598"/>
      <c r="R426" s="598"/>
      <c r="S426" s="598"/>
      <c r="T426" s="598"/>
      <c r="U426" s="598"/>
      <c r="V426" s="598"/>
      <c r="W426" s="598"/>
      <c r="X426" s="598"/>
      <c r="Y426" s="598"/>
      <c r="Z426" s="598"/>
      <c r="AA426" s="598"/>
      <c r="AB426" s="598"/>
      <c r="AC426" s="598"/>
      <c r="AD426" s="598"/>
      <c r="AE426" s="598"/>
      <c r="AF426" s="598"/>
      <c r="AG426" s="598"/>
      <c r="AH426" s="598"/>
      <c r="AI426" s="598"/>
      <c r="AJ426" s="598"/>
      <c r="AK426" s="598"/>
      <c r="AL426" s="598"/>
      <c r="AM426" s="598"/>
      <c r="AN426" s="598"/>
      <c r="AO426" s="598"/>
      <c r="AP426" s="598"/>
      <c r="AQ426" s="598"/>
      <c r="AR426" s="598"/>
      <c r="AS426" s="598"/>
      <c r="AT426" s="598"/>
      <c r="AU426" s="598"/>
    </row>
    <row r="427" spans="1:47" s="3" customFormat="1" ht="17.25" customHeight="1">
      <c r="A427" s="139" t="s">
        <v>529</v>
      </c>
      <c r="B427" s="139"/>
      <c r="C427" s="133"/>
      <c r="D427" s="22"/>
      <c r="E427" s="16"/>
      <c r="F427" s="35"/>
      <c r="G427" s="35"/>
      <c r="H427" s="36"/>
      <c r="I427" s="598"/>
      <c r="J427" s="598"/>
      <c r="K427" s="598"/>
      <c r="L427" s="598"/>
      <c r="M427" s="598"/>
      <c r="N427" s="598"/>
      <c r="O427" s="598"/>
      <c r="P427" s="598"/>
      <c r="Q427" s="598"/>
      <c r="R427" s="598"/>
      <c r="S427" s="598"/>
      <c r="T427" s="598"/>
      <c r="U427" s="598"/>
      <c r="V427" s="598"/>
      <c r="W427" s="598"/>
      <c r="X427" s="598"/>
      <c r="Y427" s="598"/>
      <c r="Z427" s="598"/>
      <c r="AA427" s="598"/>
      <c r="AB427" s="598"/>
      <c r="AC427" s="598"/>
      <c r="AD427" s="598"/>
      <c r="AE427" s="598"/>
      <c r="AF427" s="598"/>
      <c r="AG427" s="598"/>
      <c r="AH427" s="598"/>
      <c r="AI427" s="598"/>
      <c r="AJ427" s="598"/>
      <c r="AK427" s="598"/>
      <c r="AL427" s="598"/>
      <c r="AM427" s="598"/>
      <c r="AN427" s="598"/>
      <c r="AO427" s="598"/>
      <c r="AP427" s="598"/>
      <c r="AQ427" s="598"/>
      <c r="AR427" s="598"/>
      <c r="AS427" s="598"/>
      <c r="AT427" s="598"/>
      <c r="AU427" s="598"/>
    </row>
    <row r="428" spans="1:47" s="3" customFormat="1" ht="17.25" customHeight="1">
      <c r="A428" s="140" t="s">
        <v>68</v>
      </c>
      <c r="B428" s="140"/>
      <c r="C428" s="141"/>
      <c r="D428" s="142"/>
      <c r="E428" s="143"/>
      <c r="F428" s="144"/>
      <c r="G428" s="144"/>
      <c r="H428" s="145"/>
      <c r="I428" s="598"/>
      <c r="J428" s="598"/>
      <c r="K428" s="598"/>
      <c r="L428" s="598"/>
      <c r="M428" s="598"/>
      <c r="N428" s="598"/>
      <c r="O428" s="598"/>
      <c r="P428" s="598"/>
      <c r="Q428" s="598"/>
      <c r="R428" s="598"/>
      <c r="S428" s="598"/>
      <c r="T428" s="598"/>
      <c r="U428" s="598"/>
      <c r="V428" s="598"/>
      <c r="W428" s="598"/>
      <c r="X428" s="598"/>
      <c r="Y428" s="598"/>
      <c r="Z428" s="598"/>
      <c r="AA428" s="598"/>
      <c r="AB428" s="598"/>
      <c r="AC428" s="598"/>
      <c r="AD428" s="598"/>
      <c r="AE428" s="598"/>
      <c r="AF428" s="598"/>
      <c r="AG428" s="598"/>
      <c r="AH428" s="598"/>
      <c r="AI428" s="598"/>
      <c r="AJ428" s="598"/>
      <c r="AK428" s="598"/>
      <c r="AL428" s="598"/>
      <c r="AM428" s="598"/>
      <c r="AN428" s="598"/>
      <c r="AO428" s="598"/>
      <c r="AP428" s="598"/>
      <c r="AQ428" s="598"/>
      <c r="AR428" s="598"/>
      <c r="AS428" s="598"/>
      <c r="AT428" s="598"/>
      <c r="AU428" s="598"/>
    </row>
    <row r="429" spans="1:47" s="3" customFormat="1" ht="17.25" customHeight="1">
      <c r="A429" s="140" t="s">
        <v>61</v>
      </c>
      <c r="B429" s="140"/>
      <c r="C429" s="141"/>
      <c r="D429" s="142"/>
      <c r="E429" s="143"/>
      <c r="F429" s="144"/>
      <c r="G429" s="35"/>
      <c r="H429" s="36"/>
      <c r="I429" s="598"/>
      <c r="J429" s="598"/>
      <c r="K429" s="598"/>
      <c r="L429" s="598"/>
      <c r="M429" s="598"/>
      <c r="N429" s="598"/>
      <c r="O429" s="598"/>
      <c r="P429" s="598"/>
      <c r="Q429" s="598"/>
      <c r="R429" s="598"/>
      <c r="S429" s="598"/>
      <c r="T429" s="598"/>
      <c r="U429" s="598"/>
      <c r="V429" s="598"/>
      <c r="W429" s="598"/>
      <c r="X429" s="598"/>
      <c r="Y429" s="598"/>
      <c r="Z429" s="598"/>
      <c r="AA429" s="598"/>
      <c r="AB429" s="598"/>
      <c r="AC429" s="598"/>
      <c r="AD429" s="598"/>
      <c r="AE429" s="598"/>
      <c r="AF429" s="598"/>
      <c r="AG429" s="598"/>
      <c r="AH429" s="598"/>
      <c r="AI429" s="598"/>
      <c r="AJ429" s="598"/>
      <c r="AK429" s="598"/>
      <c r="AL429" s="598"/>
      <c r="AM429" s="598"/>
      <c r="AN429" s="598"/>
      <c r="AO429" s="598"/>
      <c r="AP429" s="598"/>
      <c r="AQ429" s="598"/>
      <c r="AR429" s="598"/>
      <c r="AS429" s="598"/>
      <c r="AT429" s="598"/>
      <c r="AU429" s="598"/>
    </row>
    <row r="430" spans="1:47" s="3" customFormat="1" ht="17.25" customHeight="1">
      <c r="A430" s="139" t="s">
        <v>41</v>
      </c>
      <c r="B430" s="139"/>
      <c r="C430" s="133"/>
      <c r="D430" s="22"/>
      <c r="E430" s="16"/>
      <c r="F430" s="35"/>
      <c r="G430" s="35"/>
      <c r="H430" s="36"/>
      <c r="I430" s="598"/>
      <c r="J430" s="598"/>
      <c r="K430" s="598"/>
      <c r="L430" s="598"/>
      <c r="M430" s="598"/>
      <c r="N430" s="598"/>
      <c r="O430" s="598"/>
      <c r="P430" s="598"/>
      <c r="Q430" s="598"/>
      <c r="R430" s="598"/>
      <c r="S430" s="598"/>
      <c r="T430" s="598"/>
      <c r="U430" s="598"/>
      <c r="V430" s="598"/>
      <c r="W430" s="598"/>
      <c r="X430" s="598"/>
      <c r="Y430" s="598"/>
      <c r="Z430" s="598"/>
      <c r="AA430" s="598"/>
      <c r="AB430" s="598"/>
      <c r="AC430" s="598"/>
      <c r="AD430" s="598"/>
      <c r="AE430" s="598"/>
      <c r="AF430" s="598"/>
      <c r="AG430" s="598"/>
      <c r="AH430" s="598"/>
      <c r="AI430" s="598"/>
      <c r="AJ430" s="598"/>
      <c r="AK430" s="598"/>
      <c r="AL430" s="598"/>
      <c r="AM430" s="598"/>
      <c r="AN430" s="598"/>
      <c r="AO430" s="598"/>
      <c r="AP430" s="598"/>
      <c r="AQ430" s="598"/>
      <c r="AR430" s="598"/>
      <c r="AS430" s="598"/>
      <c r="AT430" s="598"/>
      <c r="AU430" s="598"/>
    </row>
    <row r="431" spans="1:47" s="3" customFormat="1" ht="17.25" customHeight="1">
      <c r="A431" s="139"/>
      <c r="B431" s="139"/>
      <c r="C431" s="133"/>
      <c r="D431" s="22"/>
      <c r="E431" s="16"/>
      <c r="F431" s="35"/>
      <c r="G431" s="35"/>
      <c r="H431" s="36"/>
      <c r="I431" s="598"/>
      <c r="J431" s="598"/>
      <c r="K431" s="598"/>
      <c r="L431" s="598"/>
      <c r="M431" s="598"/>
      <c r="N431" s="598"/>
      <c r="O431" s="598"/>
      <c r="P431" s="598"/>
      <c r="Q431" s="598"/>
      <c r="R431" s="598"/>
      <c r="S431" s="598"/>
      <c r="T431" s="598"/>
      <c r="U431" s="598"/>
      <c r="V431" s="598"/>
      <c r="W431" s="598"/>
      <c r="X431" s="598"/>
      <c r="Y431" s="598"/>
      <c r="Z431" s="598"/>
      <c r="AA431" s="598"/>
      <c r="AB431" s="598"/>
      <c r="AC431" s="598"/>
      <c r="AD431" s="598"/>
      <c r="AE431" s="598"/>
      <c r="AF431" s="598"/>
      <c r="AG431" s="598"/>
      <c r="AH431" s="598"/>
      <c r="AI431" s="598"/>
      <c r="AJ431" s="598"/>
      <c r="AK431" s="598"/>
      <c r="AL431" s="598"/>
      <c r="AM431" s="598"/>
      <c r="AN431" s="598"/>
      <c r="AO431" s="598"/>
      <c r="AP431" s="598"/>
      <c r="AQ431" s="598"/>
      <c r="AR431" s="598"/>
      <c r="AS431" s="598"/>
      <c r="AT431" s="598"/>
      <c r="AU431" s="598"/>
    </row>
    <row r="432" spans="1:47" s="3" customFormat="1" ht="17.25" customHeight="1">
      <c r="A432" s="139"/>
      <c r="B432" s="139"/>
      <c r="C432" s="133"/>
      <c r="D432" s="22"/>
      <c r="E432" s="16"/>
      <c r="F432" s="35"/>
      <c r="G432" s="35"/>
      <c r="H432" s="36"/>
      <c r="I432" s="598"/>
      <c r="J432" s="598"/>
      <c r="K432" s="598"/>
      <c r="L432" s="598"/>
      <c r="M432" s="598"/>
      <c r="N432" s="598"/>
      <c r="O432" s="598"/>
      <c r="P432" s="598"/>
      <c r="Q432" s="598"/>
      <c r="R432" s="598"/>
      <c r="S432" s="598"/>
      <c r="T432" s="598"/>
      <c r="U432" s="598"/>
      <c r="V432" s="598"/>
      <c r="W432" s="598"/>
      <c r="X432" s="598"/>
      <c r="Y432" s="598"/>
      <c r="Z432" s="598"/>
      <c r="AA432" s="598"/>
      <c r="AB432" s="598"/>
      <c r="AC432" s="598"/>
      <c r="AD432" s="598"/>
      <c r="AE432" s="598"/>
      <c r="AF432" s="598"/>
      <c r="AG432" s="598"/>
      <c r="AH432" s="598"/>
      <c r="AI432" s="598"/>
      <c r="AJ432" s="598"/>
      <c r="AK432" s="598"/>
      <c r="AL432" s="598"/>
      <c r="AM432" s="598"/>
      <c r="AN432" s="598"/>
      <c r="AO432" s="598"/>
      <c r="AP432" s="598"/>
      <c r="AQ432" s="598"/>
      <c r="AR432" s="598"/>
      <c r="AS432" s="598"/>
      <c r="AT432" s="598"/>
      <c r="AU432" s="598"/>
    </row>
    <row r="433" spans="1:47" s="3" customFormat="1" ht="17.25" customHeight="1">
      <c r="A433" s="165" t="s">
        <v>530</v>
      </c>
      <c r="B433" s="166"/>
      <c r="C433" s="597"/>
      <c r="D433" s="143"/>
      <c r="E433" s="143"/>
      <c r="F433" s="143"/>
      <c r="G433" s="143"/>
      <c r="H433" s="36"/>
      <c r="I433" s="598"/>
      <c r="J433" s="598"/>
      <c r="K433" s="598"/>
      <c r="L433" s="598"/>
      <c r="M433" s="598"/>
      <c r="N433" s="598"/>
      <c r="O433" s="598"/>
      <c r="P433" s="598"/>
      <c r="Q433" s="598"/>
      <c r="R433" s="598"/>
      <c r="S433" s="598"/>
      <c r="T433" s="598"/>
      <c r="U433" s="598"/>
      <c r="V433" s="598"/>
      <c r="W433" s="598"/>
      <c r="X433" s="598"/>
      <c r="Y433" s="598"/>
      <c r="Z433" s="598"/>
      <c r="AA433" s="598"/>
      <c r="AB433" s="598"/>
      <c r="AC433" s="598"/>
      <c r="AD433" s="598"/>
      <c r="AE433" s="598"/>
      <c r="AF433" s="598"/>
      <c r="AG433" s="598"/>
      <c r="AH433" s="598"/>
      <c r="AI433" s="598"/>
      <c r="AJ433" s="598"/>
      <c r="AK433" s="598"/>
      <c r="AL433" s="598"/>
      <c r="AM433" s="598"/>
      <c r="AN433" s="598"/>
      <c r="AO433" s="598"/>
      <c r="AP433" s="598"/>
      <c r="AQ433" s="598"/>
      <c r="AR433" s="598"/>
      <c r="AS433" s="598"/>
      <c r="AT433" s="598"/>
      <c r="AU433" s="598"/>
    </row>
    <row r="434" spans="1:47" s="3" customFormat="1" ht="17.25" customHeight="1">
      <c r="A434" s="167" t="s">
        <v>73</v>
      </c>
      <c r="B434" s="166"/>
      <c r="C434" s="597"/>
      <c r="D434" s="143"/>
      <c r="E434" s="143"/>
      <c r="F434" s="143"/>
      <c r="G434" s="143"/>
      <c r="H434" s="36"/>
      <c r="I434" s="598"/>
      <c r="J434" s="598"/>
      <c r="K434" s="598"/>
      <c r="L434" s="598"/>
      <c r="M434" s="598"/>
      <c r="N434" s="598"/>
      <c r="O434" s="598"/>
      <c r="P434" s="598"/>
      <c r="Q434" s="598"/>
      <c r="R434" s="598"/>
      <c r="S434" s="598"/>
      <c r="T434" s="598"/>
      <c r="U434" s="598"/>
      <c r="V434" s="598"/>
      <c r="W434" s="598"/>
      <c r="X434" s="598"/>
      <c r="Y434" s="598"/>
      <c r="Z434" s="598"/>
      <c r="AA434" s="598"/>
      <c r="AB434" s="598"/>
      <c r="AC434" s="598"/>
      <c r="AD434" s="598"/>
      <c r="AE434" s="598"/>
      <c r="AF434" s="598"/>
      <c r="AG434" s="598"/>
      <c r="AH434" s="598"/>
      <c r="AI434" s="598"/>
      <c r="AJ434" s="598"/>
      <c r="AK434" s="598"/>
      <c r="AL434" s="598"/>
      <c r="AM434" s="598"/>
      <c r="AN434" s="598"/>
      <c r="AO434" s="598"/>
      <c r="AP434" s="598"/>
      <c r="AQ434" s="598"/>
      <c r="AR434" s="598"/>
      <c r="AS434" s="598"/>
      <c r="AT434" s="598"/>
      <c r="AU434" s="598"/>
    </row>
    <row r="435" spans="1:47" s="3" customFormat="1" ht="17.25" customHeight="1">
      <c r="A435" s="167" t="s">
        <v>74</v>
      </c>
      <c r="B435" s="98"/>
      <c r="C435" s="591"/>
      <c r="D435" s="143"/>
      <c r="E435" s="143"/>
      <c r="F435" s="143"/>
      <c r="G435" s="143"/>
      <c r="H435" s="36"/>
      <c r="I435" s="598"/>
      <c r="J435" s="598"/>
      <c r="K435" s="598"/>
      <c r="L435" s="598"/>
      <c r="M435" s="598"/>
      <c r="N435" s="598"/>
      <c r="O435" s="598"/>
      <c r="P435" s="598"/>
      <c r="Q435" s="598"/>
      <c r="R435" s="598"/>
      <c r="S435" s="598"/>
      <c r="T435" s="598"/>
      <c r="U435" s="598"/>
      <c r="V435" s="598"/>
      <c r="W435" s="598"/>
      <c r="X435" s="598"/>
      <c r="Y435" s="598"/>
      <c r="Z435" s="598"/>
      <c r="AA435" s="598"/>
      <c r="AB435" s="598"/>
      <c r="AC435" s="598"/>
      <c r="AD435" s="598"/>
      <c r="AE435" s="598"/>
      <c r="AF435" s="598"/>
      <c r="AG435" s="598"/>
      <c r="AH435" s="598"/>
      <c r="AI435" s="598"/>
      <c r="AJ435" s="598"/>
      <c r="AK435" s="598"/>
      <c r="AL435" s="598"/>
      <c r="AM435" s="598"/>
      <c r="AN435" s="598"/>
      <c r="AO435" s="598"/>
      <c r="AP435" s="598"/>
      <c r="AQ435" s="598"/>
      <c r="AR435" s="598"/>
      <c r="AS435" s="598"/>
      <c r="AT435" s="598"/>
      <c r="AU435" s="598"/>
    </row>
    <row r="436" spans="1:47" s="3" customFormat="1" ht="17.25" customHeight="1">
      <c r="A436" s="167"/>
      <c r="B436" s="98"/>
      <c r="C436" s="591"/>
      <c r="D436" s="143"/>
      <c r="E436" s="143"/>
      <c r="F436" s="143"/>
      <c r="G436" s="143"/>
      <c r="H436" s="36"/>
      <c r="I436" s="598"/>
      <c r="J436" s="598"/>
      <c r="K436" s="598"/>
      <c r="L436" s="598"/>
      <c r="M436" s="598"/>
      <c r="N436" s="598"/>
      <c r="O436" s="598"/>
      <c r="P436" s="598"/>
      <c r="Q436" s="598"/>
      <c r="R436" s="598"/>
      <c r="S436" s="598"/>
      <c r="T436" s="598"/>
      <c r="U436" s="598"/>
      <c r="V436" s="598"/>
      <c r="W436" s="598"/>
      <c r="X436" s="598"/>
      <c r="Y436" s="598"/>
      <c r="Z436" s="598"/>
      <c r="AA436" s="598"/>
      <c r="AB436" s="598"/>
      <c r="AC436" s="598"/>
      <c r="AD436" s="598"/>
      <c r="AE436" s="598"/>
      <c r="AF436" s="598"/>
      <c r="AG436" s="598"/>
      <c r="AH436" s="598"/>
      <c r="AI436" s="598"/>
      <c r="AJ436" s="598"/>
      <c r="AK436" s="598"/>
      <c r="AL436" s="598"/>
      <c r="AM436" s="598"/>
      <c r="AN436" s="598"/>
      <c r="AO436" s="598"/>
      <c r="AP436" s="598"/>
      <c r="AQ436" s="598"/>
      <c r="AR436" s="598"/>
      <c r="AS436" s="598"/>
      <c r="AT436" s="598"/>
      <c r="AU436" s="598"/>
    </row>
    <row r="437" spans="1:8" ht="18.75">
      <c r="A437" s="146"/>
      <c r="B437" s="49"/>
      <c r="C437" s="591"/>
      <c r="D437" s="16"/>
      <c r="E437" s="16"/>
      <c r="F437" s="16"/>
      <c r="G437" s="111"/>
      <c r="H437" s="17"/>
    </row>
    <row r="438" spans="1:8" ht="18.75">
      <c r="A438" s="168" t="s">
        <v>531</v>
      </c>
      <c r="B438" s="49"/>
      <c r="C438" s="591"/>
      <c r="D438" s="16"/>
      <c r="E438" s="16"/>
      <c r="F438" s="16"/>
      <c r="G438" s="111"/>
      <c r="H438" s="17"/>
    </row>
    <row r="439" spans="1:8" ht="15.75">
      <c r="A439" s="146"/>
      <c r="B439" s="49"/>
      <c r="C439" s="591"/>
      <c r="D439" s="16"/>
      <c r="E439" s="16"/>
      <c r="F439" s="16"/>
      <c r="G439" s="111"/>
      <c r="H439" s="105"/>
    </row>
    <row r="440" spans="1:8" ht="16.5">
      <c r="A440" s="171" t="s">
        <v>532</v>
      </c>
      <c r="B440" s="115"/>
      <c r="C440" s="172"/>
      <c r="D440" s="173"/>
      <c r="E440" s="16"/>
      <c r="F440" s="16"/>
      <c r="G440" s="111"/>
      <c r="H440" s="105">
        <v>123996.7</v>
      </c>
    </row>
    <row r="441" spans="1:10" ht="16.5">
      <c r="A441" s="171" t="s">
        <v>42</v>
      </c>
      <c r="B441" s="115"/>
      <c r="C441" s="172"/>
      <c r="D441" s="173"/>
      <c r="E441" s="16"/>
      <c r="F441" s="16"/>
      <c r="G441" s="111"/>
      <c r="H441" s="105">
        <f>H440+F169</f>
        <v>146596.7</v>
      </c>
      <c r="J441" s="599"/>
    </row>
    <row r="442" spans="1:8" ht="16.5">
      <c r="A442" s="115" t="s">
        <v>533</v>
      </c>
      <c r="B442" s="115"/>
      <c r="C442" s="172"/>
      <c r="D442" s="173"/>
      <c r="E442" s="16"/>
      <c r="F442" s="16"/>
      <c r="G442" s="111"/>
      <c r="H442" s="105"/>
    </row>
    <row r="443" spans="1:8" ht="16.5">
      <c r="A443" s="115"/>
      <c r="B443" s="115"/>
      <c r="C443" s="172"/>
      <c r="D443" s="173"/>
      <c r="E443" s="16"/>
      <c r="F443" s="16"/>
      <c r="G443" s="111"/>
      <c r="H443" s="105"/>
    </row>
    <row r="444" spans="1:8" ht="16.5">
      <c r="A444" s="115"/>
      <c r="B444" s="115" t="s">
        <v>43</v>
      </c>
      <c r="C444" s="172"/>
      <c r="D444" s="173"/>
      <c r="E444" s="16"/>
      <c r="F444" s="16"/>
      <c r="G444" s="111"/>
      <c r="H444" s="105">
        <v>72847.7</v>
      </c>
    </row>
    <row r="445" spans="1:10" ht="16.5">
      <c r="A445" s="115"/>
      <c r="B445" s="115" t="s">
        <v>44</v>
      </c>
      <c r="C445" s="172"/>
      <c r="D445" s="173"/>
      <c r="E445" s="16"/>
      <c r="F445" s="16"/>
      <c r="G445" s="111"/>
      <c r="H445" s="105">
        <f>H444+F169</f>
        <v>95447.7</v>
      </c>
      <c r="J445" s="599"/>
    </row>
    <row r="446" spans="1:8" ht="15.75">
      <c r="A446" s="146"/>
      <c r="B446" s="49"/>
      <c r="C446" s="591"/>
      <c r="D446" s="16"/>
      <c r="E446" s="16"/>
      <c r="F446" s="16"/>
      <c r="G446" s="111"/>
      <c r="H446" s="105"/>
    </row>
    <row r="447" spans="1:8" ht="16.5">
      <c r="A447" s="171" t="s">
        <v>534</v>
      </c>
      <c r="B447" s="115"/>
      <c r="C447" s="172"/>
      <c r="D447" s="173"/>
      <c r="E447" s="16"/>
      <c r="F447" s="16"/>
      <c r="G447" s="111"/>
      <c r="H447" s="105">
        <v>280342.95</v>
      </c>
    </row>
    <row r="448" spans="1:10" ht="16.5">
      <c r="A448" s="171" t="s">
        <v>42</v>
      </c>
      <c r="B448" s="115"/>
      <c r="C448" s="172"/>
      <c r="D448" s="173"/>
      <c r="E448" s="16"/>
      <c r="F448" s="16"/>
      <c r="G448" s="111"/>
      <c r="H448" s="105">
        <f>H447-D169</f>
        <v>265342.95</v>
      </c>
      <c r="J448" s="599"/>
    </row>
    <row r="449" spans="1:8" ht="16.5">
      <c r="A449" s="115" t="s">
        <v>533</v>
      </c>
      <c r="B449" s="115"/>
      <c r="C449" s="172"/>
      <c r="D449" s="173"/>
      <c r="E449" s="16"/>
      <c r="F449" s="16"/>
      <c r="G449" s="111"/>
      <c r="H449" s="105"/>
    </row>
    <row r="450" spans="1:8" ht="16.5">
      <c r="A450" s="115"/>
      <c r="B450" s="115"/>
      <c r="C450" s="172"/>
      <c r="D450" s="173"/>
      <c r="E450" s="16"/>
      <c r="F450" s="16"/>
      <c r="G450" s="111"/>
      <c r="H450" s="105"/>
    </row>
    <row r="451" spans="1:8" ht="16.5">
      <c r="A451" s="115"/>
      <c r="B451" s="115" t="s">
        <v>43</v>
      </c>
      <c r="C451" s="172"/>
      <c r="D451" s="173"/>
      <c r="E451" s="16"/>
      <c r="F451" s="16"/>
      <c r="G451" s="111"/>
      <c r="H451" s="105">
        <v>214338.16</v>
      </c>
    </row>
    <row r="452" spans="1:10" ht="16.5">
      <c r="A452" s="115"/>
      <c r="B452" s="115" t="s">
        <v>44</v>
      </c>
      <c r="C452" s="172"/>
      <c r="D452" s="173"/>
      <c r="E452" s="16"/>
      <c r="F452" s="16"/>
      <c r="G452" s="111"/>
      <c r="H452" s="105">
        <f>H451-F169</f>
        <v>191738.16</v>
      </c>
      <c r="J452" s="599"/>
    </row>
    <row r="453" spans="1:8" ht="15.75">
      <c r="A453" s="146"/>
      <c r="B453" s="49"/>
      <c r="C453" s="591"/>
      <c r="D453" s="16"/>
      <c r="E453" s="16"/>
      <c r="F453" s="16"/>
      <c r="G453" s="111"/>
      <c r="H453" s="105"/>
    </row>
    <row r="454" spans="1:10" ht="16.5">
      <c r="A454" s="171" t="s">
        <v>408</v>
      </c>
      <c r="B454" s="115"/>
      <c r="C454" s="172"/>
      <c r="D454" s="19"/>
      <c r="E454" s="19"/>
      <c r="F454" s="16"/>
      <c r="G454" s="105"/>
      <c r="H454" s="105">
        <v>115005.5</v>
      </c>
      <c r="J454" s="599"/>
    </row>
    <row r="455" spans="1:10" ht="16.5">
      <c r="A455" s="115" t="s">
        <v>42</v>
      </c>
      <c r="B455" s="115"/>
      <c r="C455" s="172"/>
      <c r="D455" s="19"/>
      <c r="E455" s="16"/>
      <c r="F455" s="16"/>
      <c r="G455" s="105"/>
      <c r="H455" s="105">
        <f>H454+F170</f>
        <v>135157.16</v>
      </c>
      <c r="J455" s="599"/>
    </row>
    <row r="456" spans="1:8" ht="16.5">
      <c r="A456" s="115"/>
      <c r="B456" s="115" t="s">
        <v>4</v>
      </c>
      <c r="C456" s="172"/>
      <c r="D456" s="19"/>
      <c r="E456" s="16"/>
      <c r="F456" s="16"/>
      <c r="G456" s="105"/>
      <c r="H456" s="105"/>
    </row>
    <row r="457" spans="1:10" ht="16.5">
      <c r="A457" s="115"/>
      <c r="B457" s="115" t="s">
        <v>43</v>
      </c>
      <c r="C457" s="172"/>
      <c r="D457" s="173"/>
      <c r="E457" s="16"/>
      <c r="F457" s="16"/>
      <c r="G457" s="105"/>
      <c r="H457" s="105">
        <v>73521</v>
      </c>
      <c r="J457" s="599"/>
    </row>
    <row r="458" spans="1:10" ht="16.5">
      <c r="A458" s="115"/>
      <c r="B458" s="115" t="s">
        <v>44</v>
      </c>
      <c r="C458" s="172"/>
      <c r="D458" s="173"/>
      <c r="E458" s="16"/>
      <c r="F458" s="16"/>
      <c r="G458" s="105"/>
      <c r="H458" s="105">
        <f>H457+F170</f>
        <v>93672.66</v>
      </c>
      <c r="J458" s="599"/>
    </row>
    <row r="459" spans="1:8" ht="16.5">
      <c r="A459" s="115"/>
      <c r="B459" s="115"/>
      <c r="C459" s="172"/>
      <c r="D459" s="173"/>
      <c r="E459" s="16"/>
      <c r="F459" s="16"/>
      <c r="G459" s="105"/>
      <c r="H459" s="105"/>
    </row>
    <row r="460" spans="1:8" ht="16.5">
      <c r="A460" s="115"/>
      <c r="B460" s="115"/>
      <c r="C460" s="172"/>
      <c r="D460" s="173"/>
      <c r="E460" s="16"/>
      <c r="F460" s="16"/>
      <c r="G460" s="105"/>
      <c r="H460" s="105"/>
    </row>
    <row r="461" spans="1:8" ht="16.5" customHeight="1">
      <c r="A461" s="71" t="s">
        <v>45</v>
      </c>
      <c r="B461" s="71"/>
      <c r="C461" s="147"/>
      <c r="D461" s="148"/>
      <c r="E461" s="148"/>
      <c r="F461" s="149"/>
      <c r="G461" s="148"/>
      <c r="H461" s="105"/>
    </row>
    <row r="462" spans="1:8" ht="16.5" customHeight="1">
      <c r="A462" s="71"/>
      <c r="B462" s="71"/>
      <c r="C462" s="147"/>
      <c r="D462" s="148"/>
      <c r="E462" s="148"/>
      <c r="F462" s="149"/>
      <c r="G462" s="148"/>
      <c r="H462" s="105"/>
    </row>
    <row r="463" spans="1:8" ht="18" customHeight="1">
      <c r="A463" s="150" t="s">
        <v>46</v>
      </c>
      <c r="B463" s="150"/>
      <c r="C463" s="151"/>
      <c r="D463" s="152"/>
      <c r="E463" s="152"/>
      <c r="F463" s="153"/>
      <c r="G463" s="152"/>
      <c r="H463" s="17"/>
    </row>
    <row r="464" spans="1:8" ht="18" customHeight="1">
      <c r="A464" s="150"/>
      <c r="B464" s="150"/>
      <c r="C464" s="151"/>
      <c r="D464" s="152"/>
      <c r="E464" s="152"/>
      <c r="F464" s="153"/>
      <c r="G464" s="152"/>
      <c r="H464" s="17"/>
    </row>
    <row r="465" spans="1:8" ht="16.5" customHeight="1">
      <c r="A465" s="71" t="s">
        <v>47</v>
      </c>
      <c r="B465" s="71"/>
      <c r="C465" s="147"/>
      <c r="D465" s="148"/>
      <c r="E465" s="148"/>
      <c r="F465" s="149"/>
      <c r="G465" s="148"/>
      <c r="H465" s="105"/>
    </row>
    <row r="466" spans="1:8" ht="16.5" customHeight="1">
      <c r="A466" s="71"/>
      <c r="B466" s="71"/>
      <c r="C466" s="147"/>
      <c r="D466" s="148"/>
      <c r="E466" s="148"/>
      <c r="F466" s="149"/>
      <c r="G466" s="148"/>
      <c r="H466" s="105"/>
    </row>
    <row r="467" spans="1:7" ht="18.75">
      <c r="A467" s="150" t="s">
        <v>48</v>
      </c>
      <c r="B467" s="150"/>
      <c r="C467" s="151"/>
      <c r="D467" s="152"/>
      <c r="E467" s="152"/>
      <c r="F467" s="153"/>
      <c r="G467" s="152"/>
    </row>
    <row r="468" spans="1:7" ht="18.75">
      <c r="A468" s="68"/>
      <c r="B468" s="68"/>
      <c r="C468" s="69"/>
      <c r="D468" s="154"/>
      <c r="E468" s="154"/>
      <c r="F468" s="155" t="s">
        <v>49</v>
      </c>
      <c r="G468" s="154"/>
    </row>
    <row r="469" spans="1:7" ht="18.75">
      <c r="A469" s="68"/>
      <c r="B469" s="68"/>
      <c r="C469" s="69"/>
      <c r="D469" s="154"/>
      <c r="E469" s="154"/>
      <c r="F469" s="155" t="s">
        <v>50</v>
      </c>
      <c r="G469" s="154"/>
    </row>
    <row r="470" spans="1:7" ht="18.75">
      <c r="A470" s="68"/>
      <c r="B470" s="68"/>
      <c r="C470" s="69"/>
      <c r="D470" s="154"/>
      <c r="E470" s="154"/>
      <c r="F470" s="155"/>
      <c r="G470" s="154"/>
    </row>
    <row r="471" spans="1:7" ht="19.5">
      <c r="A471" s="68"/>
      <c r="B471" s="68"/>
      <c r="C471" s="69"/>
      <c r="D471" s="154"/>
      <c r="E471" s="154"/>
      <c r="F471" s="156" t="s">
        <v>51</v>
      </c>
      <c r="G471" s="154"/>
    </row>
    <row r="472" spans="1:3" ht="18.75">
      <c r="A472" s="49"/>
      <c r="B472" s="49"/>
      <c r="C472" s="591"/>
    </row>
    <row r="473" spans="1:3" ht="18.75">
      <c r="A473" s="49"/>
      <c r="B473" s="49"/>
      <c r="C473" s="591"/>
    </row>
    <row r="474" spans="1:3" ht="18.75">
      <c r="A474" s="49"/>
      <c r="B474" s="49"/>
      <c r="C474" s="591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05"/>
  <sheetViews>
    <sheetView zoomScalePageLayoutView="0" workbookViewId="0" topLeftCell="A1">
      <selection activeCell="F139" sqref="F139"/>
    </sheetView>
  </sheetViews>
  <sheetFormatPr defaultColWidth="9.140625" defaultRowHeight="12.75"/>
  <cols>
    <col min="1" max="1" width="4.57421875" style="159" customWidth="1"/>
    <col min="2" max="2" width="5.140625" style="43" customWidth="1"/>
    <col min="3" max="3" width="6.57421875" style="43" customWidth="1"/>
    <col min="4" max="4" width="5.28125" style="164" customWidth="1"/>
    <col min="5" max="5" width="40.7109375" style="44" customWidth="1"/>
    <col min="6" max="6" width="16.28125" style="159" customWidth="1"/>
    <col min="7" max="7" width="16.00390625" style="159" customWidth="1"/>
    <col min="8" max="8" width="15.140625" style="43" hidden="1" customWidth="1"/>
    <col min="9" max="9" width="20.8515625" style="43" customWidth="1"/>
    <col min="10" max="10" width="14.7109375" style="176" customWidth="1"/>
    <col min="11" max="11" width="9.140625" style="176" customWidth="1"/>
    <col min="12" max="12" width="32.140625" style="176" customWidth="1"/>
    <col min="13" max="15" width="9.140625" style="176" customWidth="1"/>
    <col min="16" max="16384" width="9.140625" style="43" customWidth="1"/>
  </cols>
  <sheetData>
    <row r="1" spans="1:7" ht="20.25">
      <c r="A1" s="192"/>
      <c r="B1" s="179"/>
      <c r="C1" s="179"/>
      <c r="D1" s="192"/>
      <c r="F1" s="193" t="s">
        <v>83</v>
      </c>
      <c r="G1" s="43"/>
    </row>
    <row r="2" spans="1:7" ht="18.75">
      <c r="A2" s="192"/>
      <c r="B2" s="179"/>
      <c r="C2" s="179"/>
      <c r="D2" s="192"/>
      <c r="F2" s="194" t="s">
        <v>208</v>
      </c>
      <c r="G2" s="43"/>
    </row>
    <row r="3" spans="1:7" ht="18.75">
      <c r="A3" s="192"/>
      <c r="B3" s="179"/>
      <c r="C3" s="179"/>
      <c r="D3" s="192"/>
      <c r="F3" s="194" t="s">
        <v>84</v>
      </c>
      <c r="G3" s="43"/>
    </row>
    <row r="4" spans="1:7" ht="16.5">
      <c r="A4" s="192"/>
      <c r="B4" s="179"/>
      <c r="C4" s="179"/>
      <c r="D4" s="192"/>
      <c r="F4" s="195" t="s">
        <v>443</v>
      </c>
      <c r="G4" s="43"/>
    </row>
    <row r="5" spans="1:7" ht="12.75">
      <c r="A5" s="192"/>
      <c r="B5" s="179"/>
      <c r="C5" s="179"/>
      <c r="D5" s="192"/>
      <c r="E5" s="196"/>
      <c r="F5" s="157"/>
      <c r="G5" s="43"/>
    </row>
    <row r="6" spans="1:7" ht="19.5">
      <c r="A6" s="192"/>
      <c r="B6" s="197"/>
      <c r="C6" s="198" t="s">
        <v>85</v>
      </c>
      <c r="D6" s="199"/>
      <c r="E6" s="200"/>
      <c r="F6" s="201"/>
      <c r="G6" s="201"/>
    </row>
    <row r="7" spans="1:7" ht="19.5">
      <c r="A7" s="192"/>
      <c r="B7" s="197"/>
      <c r="C7" s="198" t="s">
        <v>86</v>
      </c>
      <c r="D7" s="199"/>
      <c r="E7" s="200"/>
      <c r="F7" s="201"/>
      <c r="G7" s="202"/>
    </row>
    <row r="8" spans="1:7" ht="18.75">
      <c r="A8" s="192"/>
      <c r="B8" s="197"/>
      <c r="C8" s="203"/>
      <c r="D8" s="199"/>
      <c r="E8" s="200"/>
      <c r="F8" s="201"/>
      <c r="G8" s="201"/>
    </row>
    <row r="9" spans="1:7" ht="12.75">
      <c r="A9" s="192"/>
      <c r="B9" s="197" t="s">
        <v>5</v>
      </c>
      <c r="C9" s="204"/>
      <c r="D9" s="205"/>
      <c r="E9" s="200"/>
      <c r="F9" s="206" t="s">
        <v>87</v>
      </c>
      <c r="G9" s="206"/>
    </row>
    <row r="10" spans="1:7" ht="18.75" customHeight="1">
      <c r="A10" s="207"/>
      <c r="B10" s="208"/>
      <c r="C10" s="209"/>
      <c r="D10" s="210"/>
      <c r="E10" s="208"/>
      <c r="F10" s="211" t="s">
        <v>88</v>
      </c>
      <c r="G10" s="212"/>
    </row>
    <row r="11" spans="1:7" ht="18.75" customHeight="1">
      <c r="A11" s="213" t="s">
        <v>89</v>
      </c>
      <c r="B11" s="214" t="s">
        <v>15</v>
      </c>
      <c r="C11" s="215" t="s">
        <v>13</v>
      </c>
      <c r="D11" s="215" t="s">
        <v>8</v>
      </c>
      <c r="E11" s="214" t="s">
        <v>90</v>
      </c>
      <c r="F11" s="216"/>
      <c r="G11" s="217" t="s">
        <v>4</v>
      </c>
    </row>
    <row r="12" spans="1:10" ht="40.5" customHeight="1">
      <c r="A12" s="218"/>
      <c r="B12" s="219"/>
      <c r="C12" s="220"/>
      <c r="D12" s="221"/>
      <c r="E12" s="219"/>
      <c r="F12" s="222" t="s">
        <v>91</v>
      </c>
      <c r="G12" s="223" t="s">
        <v>92</v>
      </c>
      <c r="I12" s="224"/>
      <c r="J12" s="225"/>
    </row>
    <row r="13" spans="1:10" ht="21" customHeight="1">
      <c r="A13" s="207"/>
      <c r="B13" s="226" t="s">
        <v>93</v>
      </c>
      <c r="C13" s="227"/>
      <c r="D13" s="228"/>
      <c r="E13" s="229"/>
      <c r="F13" s="230">
        <f>F14+F25+F30+F37+F43+F75+F46+F72+F79+F121+F126</f>
        <v>39438305.620000005</v>
      </c>
      <c r="G13" s="230">
        <f>G14+G25+G30+G37+G43+G75+G46+G72+G79+G121+G126</f>
        <v>7865047.100000001</v>
      </c>
      <c r="I13" s="231"/>
      <c r="J13" s="232"/>
    </row>
    <row r="14" spans="1:10" ht="24.75" customHeight="1">
      <c r="A14" s="233"/>
      <c r="B14" s="234">
        <v>600</v>
      </c>
      <c r="C14" s="234"/>
      <c r="D14" s="235"/>
      <c r="E14" s="236" t="s">
        <v>94</v>
      </c>
      <c r="F14" s="237">
        <f>F15+F17</f>
        <v>5882575</v>
      </c>
      <c r="G14" s="238">
        <f>G15+G17</f>
        <v>179242.73</v>
      </c>
      <c r="I14" s="239"/>
      <c r="J14" s="240"/>
    </row>
    <row r="15" spans="1:15" s="619" customFormat="1" ht="24.75" customHeight="1">
      <c r="A15" s="218"/>
      <c r="B15" s="263"/>
      <c r="C15" s="242">
        <v>60004</v>
      </c>
      <c r="D15" s="249"/>
      <c r="E15" s="380" t="s">
        <v>404</v>
      </c>
      <c r="F15" s="620">
        <f>F16</f>
        <v>13500</v>
      </c>
      <c r="G15" s="252"/>
      <c r="H15" s="615"/>
      <c r="I15" s="616"/>
      <c r="J15" s="617"/>
      <c r="K15" s="618"/>
      <c r="L15" s="618"/>
      <c r="M15" s="618"/>
      <c r="N15" s="618"/>
      <c r="O15" s="618"/>
    </row>
    <row r="16" spans="1:15" s="619" customFormat="1" ht="24.75" customHeight="1">
      <c r="A16" s="218"/>
      <c r="B16" s="263"/>
      <c r="C16" s="294"/>
      <c r="D16" s="249">
        <v>6050</v>
      </c>
      <c r="E16" s="635" t="s">
        <v>403</v>
      </c>
      <c r="F16" s="251">
        <v>13500</v>
      </c>
      <c r="G16" s="252"/>
      <c r="H16" s="615"/>
      <c r="I16" s="616"/>
      <c r="J16" s="617"/>
      <c r="K16" s="618"/>
      <c r="L16" s="618"/>
      <c r="M16" s="618"/>
      <c r="N16" s="618"/>
      <c r="O16" s="618"/>
    </row>
    <row r="17" spans="1:7" ht="27.75" customHeight="1">
      <c r="A17" s="218"/>
      <c r="B17" s="241"/>
      <c r="C17" s="242">
        <v>60016</v>
      </c>
      <c r="D17" s="243"/>
      <c r="E17" s="244" t="s">
        <v>95</v>
      </c>
      <c r="F17" s="245">
        <f>SUM(F18:F24)</f>
        <v>5869075</v>
      </c>
      <c r="G17" s="246">
        <f>SUM(G18:G24)</f>
        <v>179242.73</v>
      </c>
    </row>
    <row r="18" spans="1:15" s="253" customFormat="1" ht="35.25" customHeight="1">
      <c r="A18" s="233">
        <v>1</v>
      </c>
      <c r="B18" s="247"/>
      <c r="C18" s="248"/>
      <c r="D18" s="249">
        <v>6050</v>
      </c>
      <c r="E18" s="250" t="s">
        <v>96</v>
      </c>
      <c r="F18" s="251">
        <f>2267036-130000-325000-10600</f>
        <v>1801436</v>
      </c>
      <c r="G18" s="252">
        <v>179242.73</v>
      </c>
      <c r="I18" s="254"/>
      <c r="J18" s="255"/>
      <c r="K18" s="255"/>
      <c r="L18" s="255"/>
      <c r="M18" s="255"/>
      <c r="N18" s="255"/>
      <c r="O18" s="255"/>
    </row>
    <row r="19" spans="1:15" s="253" customFormat="1" ht="26.25" customHeight="1">
      <c r="A19" s="233">
        <v>2</v>
      </c>
      <c r="B19" s="247"/>
      <c r="C19" s="248"/>
      <c r="D19" s="249">
        <v>6050</v>
      </c>
      <c r="E19" s="250" t="s">
        <v>97</v>
      </c>
      <c r="F19" s="251">
        <f>200000-49500</f>
        <v>150500</v>
      </c>
      <c r="G19" s="252">
        <v>0</v>
      </c>
      <c r="J19" s="255"/>
      <c r="K19" s="255"/>
      <c r="L19" s="255"/>
      <c r="M19" s="255"/>
      <c r="N19" s="255"/>
      <c r="O19" s="255"/>
    </row>
    <row r="20" spans="1:15" s="253" customFormat="1" ht="35.25" customHeight="1">
      <c r="A20" s="218">
        <v>3</v>
      </c>
      <c r="B20" s="247"/>
      <c r="C20" s="248"/>
      <c r="D20" s="249">
        <v>6050</v>
      </c>
      <c r="E20" s="250" t="s">
        <v>98</v>
      </c>
      <c r="F20" s="251">
        <f>43000-41500</f>
        <v>1500</v>
      </c>
      <c r="G20" s="252">
        <v>0</v>
      </c>
      <c r="J20" s="255"/>
      <c r="K20" s="255"/>
      <c r="L20" s="255"/>
      <c r="M20" s="255"/>
      <c r="N20" s="255"/>
      <c r="O20" s="255"/>
    </row>
    <row r="21" spans="1:15" s="253" customFormat="1" ht="35.25" customHeight="1">
      <c r="A21" s="218">
        <v>4</v>
      </c>
      <c r="B21" s="247"/>
      <c r="C21" s="248"/>
      <c r="D21" s="249">
        <v>6050</v>
      </c>
      <c r="E21" s="250" t="s">
        <v>280</v>
      </c>
      <c r="F21" s="251">
        <v>106764</v>
      </c>
      <c r="G21" s="252">
        <v>0</v>
      </c>
      <c r="J21" s="255"/>
      <c r="K21" s="255"/>
      <c r="L21" s="255"/>
      <c r="M21" s="255"/>
      <c r="N21" s="255"/>
      <c r="O21" s="255"/>
    </row>
    <row r="22" spans="1:15" s="253" customFormat="1" ht="35.25" customHeight="1">
      <c r="A22" s="218">
        <v>5</v>
      </c>
      <c r="B22" s="247"/>
      <c r="C22" s="248"/>
      <c r="D22" s="249">
        <v>6050</v>
      </c>
      <c r="E22" s="250" t="s">
        <v>292</v>
      </c>
      <c r="F22" s="251">
        <f>9900-429</f>
        <v>9471</v>
      </c>
      <c r="G22" s="252"/>
      <c r="J22" s="255"/>
      <c r="K22" s="255"/>
      <c r="L22" s="255"/>
      <c r="M22" s="255"/>
      <c r="N22" s="255"/>
      <c r="O22" s="255"/>
    </row>
    <row r="23" spans="1:15" s="253" customFormat="1" ht="35.25" customHeight="1">
      <c r="A23" s="218">
        <v>6</v>
      </c>
      <c r="B23" s="247"/>
      <c r="C23" s="248"/>
      <c r="D23" s="249">
        <v>6050</v>
      </c>
      <c r="E23" s="250" t="s">
        <v>293</v>
      </c>
      <c r="F23" s="251">
        <f>4350000-1340000+2074404-1300000</f>
        <v>3784404</v>
      </c>
      <c r="G23" s="252"/>
      <c r="J23" s="496"/>
      <c r="K23" s="255"/>
      <c r="L23" s="255"/>
      <c r="M23" s="255"/>
      <c r="N23" s="255"/>
      <c r="O23" s="255"/>
    </row>
    <row r="24" spans="1:15" s="253" customFormat="1" ht="29.25" customHeight="1">
      <c r="A24" s="218">
        <v>7</v>
      </c>
      <c r="B24" s="247"/>
      <c r="C24" s="248"/>
      <c r="D24" s="249">
        <v>6060</v>
      </c>
      <c r="E24" s="250" t="s">
        <v>99</v>
      </c>
      <c r="F24" s="251">
        <v>15000</v>
      </c>
      <c r="G24" s="252">
        <v>0</v>
      </c>
      <c r="J24" s="255"/>
      <c r="K24" s="255"/>
      <c r="L24" s="255"/>
      <c r="M24" s="255"/>
      <c r="N24" s="255"/>
      <c r="O24" s="255"/>
    </row>
    <row r="25" spans="1:7" ht="27" customHeight="1">
      <c r="A25" s="256"/>
      <c r="B25" s="234">
        <v>700</v>
      </c>
      <c r="C25" s="234"/>
      <c r="D25" s="235"/>
      <c r="E25" s="257" t="s">
        <v>100</v>
      </c>
      <c r="F25" s="258">
        <f>F26+F28</f>
        <v>2326693.8899999997</v>
      </c>
      <c r="G25" s="259">
        <f>G26+G28</f>
        <v>634944.51</v>
      </c>
    </row>
    <row r="26" spans="1:7" ht="27" customHeight="1">
      <c r="A26" s="233"/>
      <c r="B26" s="260"/>
      <c r="C26" s="261">
        <v>70005</v>
      </c>
      <c r="D26" s="243"/>
      <c r="E26" s="244" t="s">
        <v>101</v>
      </c>
      <c r="F26" s="245">
        <f>SUM(F27:F27)</f>
        <v>796005</v>
      </c>
      <c r="G26" s="246">
        <f>SUM(G27:G27)</f>
        <v>0</v>
      </c>
    </row>
    <row r="27" spans="1:7" ht="29.25" customHeight="1">
      <c r="A27" s="233">
        <v>8</v>
      </c>
      <c r="B27" s="262"/>
      <c r="C27" s="263"/>
      <c r="D27" s="249">
        <v>6060</v>
      </c>
      <c r="E27" s="250" t="s">
        <v>102</v>
      </c>
      <c r="F27" s="660">
        <f>1118622+137000+50000-570000+5483-12200+82600-15500</f>
        <v>796005</v>
      </c>
      <c r="G27" s="265">
        <v>0</v>
      </c>
    </row>
    <row r="28" spans="1:7" ht="24.75" customHeight="1">
      <c r="A28" s="233"/>
      <c r="B28" s="266"/>
      <c r="C28" s="267">
        <v>70095</v>
      </c>
      <c r="D28" s="268"/>
      <c r="E28" s="244" t="s">
        <v>103</v>
      </c>
      <c r="F28" s="245">
        <f>SUM(F29:F29)</f>
        <v>1530688.89</v>
      </c>
      <c r="G28" s="246">
        <f>SUM(G29:G29)</f>
        <v>634944.51</v>
      </c>
    </row>
    <row r="29" spans="1:7" ht="72.75" customHeight="1">
      <c r="A29" s="233">
        <v>9</v>
      </c>
      <c r="B29" s="266"/>
      <c r="C29" s="241"/>
      <c r="D29" s="233">
        <v>6010</v>
      </c>
      <c r="E29" s="269" t="s">
        <v>104</v>
      </c>
      <c r="F29" s="264">
        <v>1530688.89</v>
      </c>
      <c r="G29" s="265">
        <v>634944.51</v>
      </c>
    </row>
    <row r="30" spans="1:7" ht="24.75" customHeight="1">
      <c r="A30" s="270"/>
      <c r="B30" s="234">
        <v>750</v>
      </c>
      <c r="C30" s="234"/>
      <c r="D30" s="235"/>
      <c r="E30" s="271" t="s">
        <v>105</v>
      </c>
      <c r="F30" s="272">
        <f>F31+F35</f>
        <v>271320</v>
      </c>
      <c r="G30" s="272">
        <f>G31+G35</f>
        <v>0</v>
      </c>
    </row>
    <row r="31" spans="1:7" ht="27" customHeight="1">
      <c r="A31" s="233"/>
      <c r="B31" s="274"/>
      <c r="C31" s="267">
        <v>75023</v>
      </c>
      <c r="D31" s="268"/>
      <c r="E31" s="275" t="s">
        <v>106</v>
      </c>
      <c r="F31" s="276">
        <f>SUM(F32:F34)</f>
        <v>251320</v>
      </c>
      <c r="G31" s="277">
        <f>SUM(G45:G45)</f>
        <v>0</v>
      </c>
    </row>
    <row r="32" spans="1:7" ht="27" customHeight="1">
      <c r="A32" s="233">
        <v>10</v>
      </c>
      <c r="B32" s="278"/>
      <c r="C32" s="266"/>
      <c r="D32" s="249">
        <v>6050</v>
      </c>
      <c r="E32" s="279" t="s">
        <v>107</v>
      </c>
      <c r="F32" s="280">
        <f>60000+13000</f>
        <v>73000</v>
      </c>
      <c r="G32" s="265">
        <v>0</v>
      </c>
    </row>
    <row r="33" spans="1:7" ht="41.25" customHeight="1">
      <c r="A33" s="233">
        <v>11</v>
      </c>
      <c r="B33" s="278"/>
      <c r="C33" s="266"/>
      <c r="D33" s="249">
        <v>6050</v>
      </c>
      <c r="E33" s="279" t="s">
        <v>108</v>
      </c>
      <c r="F33" s="280">
        <f>40000-2480</f>
        <v>37520</v>
      </c>
      <c r="G33" s="265"/>
    </row>
    <row r="34" spans="1:7" ht="25.5" customHeight="1">
      <c r="A34" s="233">
        <v>12</v>
      </c>
      <c r="B34" s="278"/>
      <c r="C34" s="266"/>
      <c r="D34" s="249">
        <v>6060</v>
      </c>
      <c r="E34" s="279" t="s">
        <v>109</v>
      </c>
      <c r="F34" s="661">
        <f>150000-100000+81800+9000</f>
        <v>140800</v>
      </c>
      <c r="G34" s="265">
        <v>0</v>
      </c>
    </row>
    <row r="35" spans="1:15" s="311" customFormat="1" ht="25.5" customHeight="1">
      <c r="A35" s="283"/>
      <c r="B35" s="278"/>
      <c r="C35" s="267">
        <v>75095</v>
      </c>
      <c r="D35" s="283"/>
      <c r="E35" s="504" t="s">
        <v>309</v>
      </c>
      <c r="F35" s="246">
        <f>F36</f>
        <v>20000</v>
      </c>
      <c r="G35" s="246">
        <f>G36</f>
        <v>0</v>
      </c>
      <c r="J35" s="312"/>
      <c r="K35" s="312"/>
      <c r="L35" s="312"/>
      <c r="M35" s="312"/>
      <c r="N35" s="312"/>
      <c r="O35" s="312"/>
    </row>
    <row r="36" spans="1:7" ht="51" customHeight="1">
      <c r="A36" s="233">
        <v>13</v>
      </c>
      <c r="B36" s="278"/>
      <c r="C36" s="267"/>
      <c r="D36" s="233">
        <v>6050</v>
      </c>
      <c r="E36" s="606" t="s">
        <v>368</v>
      </c>
      <c r="F36" s="265">
        <v>20000</v>
      </c>
      <c r="G36" s="265"/>
    </row>
    <row r="37" spans="1:7" ht="30" customHeight="1">
      <c r="A37" s="233"/>
      <c r="B37" s="234">
        <v>754</v>
      </c>
      <c r="C37" s="234"/>
      <c r="D37" s="270"/>
      <c r="E37" s="281" t="s">
        <v>110</v>
      </c>
      <c r="F37" s="258">
        <f>F38+F41</f>
        <v>43212</v>
      </c>
      <c r="G37" s="259">
        <f>G38+G41</f>
        <v>0</v>
      </c>
    </row>
    <row r="38" spans="1:7" ht="28.5" customHeight="1">
      <c r="A38" s="233"/>
      <c r="B38" s="282"/>
      <c r="C38" s="260">
        <v>75412</v>
      </c>
      <c r="D38" s="283"/>
      <c r="E38" s="284" t="s">
        <v>111</v>
      </c>
      <c r="F38" s="245">
        <f>F39+F40</f>
        <v>24212</v>
      </c>
      <c r="G38" s="246">
        <f>G39</f>
        <v>0</v>
      </c>
    </row>
    <row r="39" spans="1:7" ht="26.25" customHeight="1">
      <c r="A39" s="233">
        <v>14</v>
      </c>
      <c r="B39" s="285"/>
      <c r="C39" s="286"/>
      <c r="D39" s="249">
        <v>6060</v>
      </c>
      <c r="E39" s="250" t="s">
        <v>112</v>
      </c>
      <c r="F39" s="264">
        <f>6000-1788</f>
        <v>4212</v>
      </c>
      <c r="G39" s="265">
        <v>0</v>
      </c>
    </row>
    <row r="40" spans="1:7" ht="33.75" customHeight="1">
      <c r="A40" s="233">
        <v>15</v>
      </c>
      <c r="B40" s="285"/>
      <c r="C40" s="262"/>
      <c r="D40" s="233">
        <v>6230</v>
      </c>
      <c r="E40" s="287" t="s">
        <v>113</v>
      </c>
      <c r="F40" s="288">
        <v>20000</v>
      </c>
      <c r="G40" s="289">
        <v>0</v>
      </c>
    </row>
    <row r="41" spans="1:7" ht="26.25" customHeight="1">
      <c r="A41" s="233"/>
      <c r="B41" s="282"/>
      <c r="C41" s="267">
        <v>75414</v>
      </c>
      <c r="D41" s="283"/>
      <c r="E41" s="284" t="s">
        <v>114</v>
      </c>
      <c r="F41" s="276">
        <f>SUM(F42)</f>
        <v>19000</v>
      </c>
      <c r="G41" s="277">
        <f>SUM(G42)</f>
        <v>0</v>
      </c>
    </row>
    <row r="42" spans="1:7" ht="29.25" customHeight="1">
      <c r="A42" s="233">
        <v>16</v>
      </c>
      <c r="B42" s="262"/>
      <c r="C42" s="290"/>
      <c r="D42" s="291">
        <v>6060</v>
      </c>
      <c r="E42" s="250" t="s">
        <v>112</v>
      </c>
      <c r="F42" s="251">
        <v>19000</v>
      </c>
      <c r="G42" s="252">
        <v>0</v>
      </c>
    </row>
    <row r="43" spans="1:7" ht="25.5" customHeight="1">
      <c r="A43" s="233"/>
      <c r="B43" s="234">
        <v>758</v>
      </c>
      <c r="C43" s="292"/>
      <c r="D43" s="235"/>
      <c r="E43" s="257" t="s">
        <v>115</v>
      </c>
      <c r="F43" s="258">
        <f>F44</f>
        <v>93672.66</v>
      </c>
      <c r="G43" s="259">
        <f>G44</f>
        <v>0</v>
      </c>
    </row>
    <row r="44" spans="1:7" ht="27.75" customHeight="1">
      <c r="A44" s="233"/>
      <c r="B44" s="293"/>
      <c r="C44" s="267">
        <v>75818</v>
      </c>
      <c r="D44" s="243"/>
      <c r="E44" s="275" t="s">
        <v>116</v>
      </c>
      <c r="F44" s="276">
        <f>F45</f>
        <v>93672.66</v>
      </c>
      <c r="G44" s="277">
        <f>G45</f>
        <v>0</v>
      </c>
    </row>
    <row r="45" spans="1:7" ht="33.75" customHeight="1">
      <c r="A45" s="233"/>
      <c r="B45" s="285"/>
      <c r="C45" s="294"/>
      <c r="D45" s="249">
        <v>6800</v>
      </c>
      <c r="E45" s="295" t="s">
        <v>16</v>
      </c>
      <c r="F45" s="662">
        <f>800000-40000-10000-250000-130000-70000-80000+105000-34000-8979-125000-15000-40000-20000-8500+20151.66</f>
        <v>93672.66</v>
      </c>
      <c r="G45" s="252">
        <f>500000-500000</f>
        <v>0</v>
      </c>
    </row>
    <row r="46" spans="1:7" ht="24.75" customHeight="1">
      <c r="A46" s="218"/>
      <c r="B46" s="234">
        <v>801</v>
      </c>
      <c r="C46" s="290"/>
      <c r="D46" s="291"/>
      <c r="E46" s="296" t="s">
        <v>117</v>
      </c>
      <c r="F46" s="272">
        <f>F66+F54+F47+F68</f>
        <v>2256379</v>
      </c>
      <c r="G46" s="273">
        <f>G66+G47+G68</f>
        <v>0</v>
      </c>
    </row>
    <row r="47" spans="1:7" ht="24.75" customHeight="1">
      <c r="A47" s="218"/>
      <c r="B47" s="285"/>
      <c r="C47" s="260">
        <v>80101</v>
      </c>
      <c r="D47" s="268"/>
      <c r="E47" s="275" t="s">
        <v>118</v>
      </c>
      <c r="F47" s="276">
        <f>SUM(F48:F53)</f>
        <v>967260</v>
      </c>
      <c r="G47" s="277">
        <f>G48</f>
        <v>0</v>
      </c>
    </row>
    <row r="48" spans="1:7" ht="27.75" customHeight="1">
      <c r="A48" s="218">
        <v>17</v>
      </c>
      <c r="B48" s="285"/>
      <c r="C48" s="286"/>
      <c r="D48" s="249">
        <v>6050</v>
      </c>
      <c r="E48" s="295" t="s">
        <v>119</v>
      </c>
      <c r="F48" s="288">
        <v>800000</v>
      </c>
      <c r="G48" s="289">
        <v>0</v>
      </c>
    </row>
    <row r="49" spans="1:7" ht="29.25" customHeight="1">
      <c r="A49" s="218">
        <v>18</v>
      </c>
      <c r="B49" s="285"/>
      <c r="C49" s="262"/>
      <c r="D49" s="249">
        <v>6050</v>
      </c>
      <c r="E49" s="295" t="s">
        <v>120</v>
      </c>
      <c r="F49" s="288">
        <v>9000</v>
      </c>
      <c r="G49" s="289">
        <v>0</v>
      </c>
    </row>
    <row r="50" spans="1:7" ht="30.75" customHeight="1">
      <c r="A50" s="218">
        <v>19</v>
      </c>
      <c r="B50" s="285"/>
      <c r="C50" s="262"/>
      <c r="D50" s="249">
        <v>6050</v>
      </c>
      <c r="E50" s="295" t="s">
        <v>121</v>
      </c>
      <c r="F50" s="288">
        <v>6000</v>
      </c>
      <c r="G50" s="289">
        <v>0</v>
      </c>
    </row>
    <row r="51" spans="1:7" ht="30.75" customHeight="1">
      <c r="A51" s="218">
        <v>20</v>
      </c>
      <c r="B51" s="285"/>
      <c r="C51" s="262"/>
      <c r="D51" s="249">
        <v>6050</v>
      </c>
      <c r="E51" s="295" t="s">
        <v>122</v>
      </c>
      <c r="F51" s="288">
        <v>140000</v>
      </c>
      <c r="G51" s="289"/>
    </row>
    <row r="52" spans="1:7" ht="30.75" customHeight="1">
      <c r="A52" s="218">
        <v>21</v>
      </c>
      <c r="B52" s="285"/>
      <c r="C52" s="262"/>
      <c r="D52" s="249">
        <v>6060</v>
      </c>
      <c r="E52" s="295" t="s">
        <v>123</v>
      </c>
      <c r="F52" s="288">
        <v>5760</v>
      </c>
      <c r="G52" s="289"/>
    </row>
    <row r="53" spans="1:7" ht="24.75" customHeight="1">
      <c r="A53" s="218">
        <v>22</v>
      </c>
      <c r="B53" s="285"/>
      <c r="C53" s="294"/>
      <c r="D53" s="249">
        <v>6060</v>
      </c>
      <c r="E53" s="295" t="s">
        <v>124</v>
      </c>
      <c r="F53" s="288">
        <v>6500</v>
      </c>
      <c r="G53" s="289">
        <v>0</v>
      </c>
    </row>
    <row r="54" spans="1:7" ht="24.75" customHeight="1">
      <c r="A54" s="218"/>
      <c r="B54" s="285"/>
      <c r="C54" s="266">
        <v>80104</v>
      </c>
      <c r="D54" s="243"/>
      <c r="E54" s="244" t="s">
        <v>125</v>
      </c>
      <c r="F54" s="276">
        <f>SUM(F55:F65)</f>
        <v>114319</v>
      </c>
      <c r="G54" s="277">
        <f>SUM(G59:G65)</f>
        <v>0</v>
      </c>
    </row>
    <row r="55" spans="1:15" s="298" customFormat="1" ht="35.25" customHeight="1">
      <c r="A55" s="218">
        <v>23</v>
      </c>
      <c r="B55" s="285"/>
      <c r="C55" s="286"/>
      <c r="D55" s="249">
        <v>6050</v>
      </c>
      <c r="E55" s="297" t="s">
        <v>294</v>
      </c>
      <c r="F55" s="288">
        <v>9300</v>
      </c>
      <c r="G55" s="289"/>
      <c r="J55" s="299"/>
      <c r="K55" s="299"/>
      <c r="L55" s="299"/>
      <c r="M55" s="299"/>
      <c r="N55" s="299"/>
      <c r="O55" s="299"/>
    </row>
    <row r="56" spans="1:15" s="298" customFormat="1" ht="35.25" customHeight="1">
      <c r="A56" s="218">
        <v>24</v>
      </c>
      <c r="B56" s="285"/>
      <c r="C56" s="262"/>
      <c r="D56" s="249">
        <v>6050</v>
      </c>
      <c r="E56" s="297" t="s">
        <v>284</v>
      </c>
      <c r="F56" s="288">
        <v>27000</v>
      </c>
      <c r="G56" s="289"/>
      <c r="J56" s="299"/>
      <c r="K56" s="299"/>
      <c r="L56" s="299"/>
      <c r="M56" s="299"/>
      <c r="N56" s="299"/>
      <c r="O56" s="299"/>
    </row>
    <row r="57" spans="1:15" s="372" customFormat="1" ht="35.25" customHeight="1">
      <c r="A57" s="218">
        <v>25</v>
      </c>
      <c r="B57" s="285"/>
      <c r="C57" s="262"/>
      <c r="D57" s="249">
        <v>6050</v>
      </c>
      <c r="E57" s="295" t="s">
        <v>282</v>
      </c>
      <c r="F57" s="288">
        <v>18914</v>
      </c>
      <c r="G57" s="289"/>
      <c r="J57" s="374"/>
      <c r="K57" s="374"/>
      <c r="L57" s="374"/>
      <c r="M57" s="374"/>
      <c r="N57" s="374"/>
      <c r="O57" s="374"/>
    </row>
    <row r="58" spans="1:15" s="372" customFormat="1" ht="35.25" customHeight="1">
      <c r="A58" s="218"/>
      <c r="B58" s="285"/>
      <c r="C58" s="262"/>
      <c r="D58" s="249">
        <v>6050</v>
      </c>
      <c r="E58" s="295" t="s">
        <v>394</v>
      </c>
      <c r="F58" s="288">
        <v>15300</v>
      </c>
      <c r="G58" s="289"/>
      <c r="J58" s="374"/>
      <c r="K58" s="374"/>
      <c r="L58" s="374"/>
      <c r="M58" s="374"/>
      <c r="N58" s="374"/>
      <c r="O58" s="374"/>
    </row>
    <row r="59" spans="1:7" ht="24.75" customHeight="1">
      <c r="A59" s="218">
        <v>26</v>
      </c>
      <c r="B59" s="285"/>
      <c r="C59" s="262"/>
      <c r="D59" s="249">
        <v>6060</v>
      </c>
      <c r="E59" s="295" t="s">
        <v>126</v>
      </c>
      <c r="F59" s="288">
        <f>5000-700</f>
        <v>4300</v>
      </c>
      <c r="G59" s="289">
        <v>0</v>
      </c>
    </row>
    <row r="60" spans="1:7" ht="28.5" customHeight="1">
      <c r="A60" s="218">
        <v>27</v>
      </c>
      <c r="B60" s="285"/>
      <c r="C60" s="262"/>
      <c r="D60" s="249">
        <v>6060</v>
      </c>
      <c r="E60" s="295" t="s">
        <v>127</v>
      </c>
      <c r="F60" s="288">
        <f>5000-100</f>
        <v>4900</v>
      </c>
      <c r="G60" s="289">
        <v>0</v>
      </c>
    </row>
    <row r="61" spans="1:7" ht="24.75" customHeight="1">
      <c r="A61" s="218">
        <v>28</v>
      </c>
      <c r="B61" s="285"/>
      <c r="C61" s="262"/>
      <c r="D61" s="249">
        <v>6060</v>
      </c>
      <c r="E61" s="295" t="s">
        <v>128</v>
      </c>
      <c r="F61" s="288">
        <v>8000</v>
      </c>
      <c r="G61" s="289">
        <v>0</v>
      </c>
    </row>
    <row r="62" spans="1:7" ht="29.25" customHeight="1">
      <c r="A62" s="218">
        <v>29</v>
      </c>
      <c r="B62" s="285"/>
      <c r="C62" s="262"/>
      <c r="D62" s="249">
        <v>6060</v>
      </c>
      <c r="E62" s="295" t="s">
        <v>129</v>
      </c>
      <c r="F62" s="288">
        <f>8000-2895</f>
        <v>5105</v>
      </c>
      <c r="G62" s="289">
        <v>0</v>
      </c>
    </row>
    <row r="63" spans="1:7" ht="29.25" customHeight="1">
      <c r="A63" s="218">
        <v>30</v>
      </c>
      <c r="B63" s="285"/>
      <c r="C63" s="262"/>
      <c r="D63" s="249">
        <v>6060</v>
      </c>
      <c r="E63" s="295" t="s">
        <v>130</v>
      </c>
      <c r="F63" s="288">
        <v>9000</v>
      </c>
      <c r="G63" s="289">
        <v>0</v>
      </c>
    </row>
    <row r="64" spans="1:7" ht="29.25" customHeight="1">
      <c r="A64" s="218">
        <v>31</v>
      </c>
      <c r="B64" s="285"/>
      <c r="C64" s="262"/>
      <c r="D64" s="249">
        <v>6060</v>
      </c>
      <c r="E64" s="295" t="s">
        <v>278</v>
      </c>
      <c r="F64" s="288">
        <v>4500</v>
      </c>
      <c r="G64" s="289"/>
    </row>
    <row r="65" spans="1:7" ht="30.75" customHeight="1">
      <c r="A65" s="218">
        <v>32</v>
      </c>
      <c r="B65" s="285"/>
      <c r="C65" s="294"/>
      <c r="D65" s="249">
        <v>6060</v>
      </c>
      <c r="E65" s="295" t="s">
        <v>131</v>
      </c>
      <c r="F65" s="288">
        <v>8000</v>
      </c>
      <c r="G65" s="289">
        <v>0</v>
      </c>
    </row>
    <row r="66" spans="1:7" ht="25.5" customHeight="1">
      <c r="A66" s="233"/>
      <c r="B66" s="285"/>
      <c r="C66" s="242">
        <v>80110</v>
      </c>
      <c r="D66" s="243"/>
      <c r="E66" s="244" t="s">
        <v>132</v>
      </c>
      <c r="F66" s="245">
        <f>F67</f>
        <v>1158000</v>
      </c>
      <c r="G66" s="246">
        <f>G67</f>
        <v>0</v>
      </c>
    </row>
    <row r="67" spans="1:7" ht="24" customHeight="1">
      <c r="A67" s="233">
        <v>33</v>
      </c>
      <c r="B67" s="285"/>
      <c r="C67" s="262"/>
      <c r="D67" s="300">
        <v>6050</v>
      </c>
      <c r="E67" s="269" t="s">
        <v>133</v>
      </c>
      <c r="F67" s="264">
        <f>1240000-82000</f>
        <v>1158000</v>
      </c>
      <c r="G67" s="265">
        <v>0</v>
      </c>
    </row>
    <row r="68" spans="1:7" ht="27" customHeight="1">
      <c r="A68" s="233"/>
      <c r="B68" s="285"/>
      <c r="C68" s="260">
        <v>80148</v>
      </c>
      <c r="D68" s="243"/>
      <c r="E68" s="244" t="s">
        <v>134</v>
      </c>
      <c r="F68" s="245">
        <f>SUM(F69:F71)</f>
        <v>16800</v>
      </c>
      <c r="G68" s="246">
        <f>SUM(G69:G71)</f>
        <v>0</v>
      </c>
    </row>
    <row r="69" spans="1:7" ht="22.5" customHeight="1">
      <c r="A69" s="233">
        <v>34</v>
      </c>
      <c r="B69" s="285"/>
      <c r="C69" s="260"/>
      <c r="D69" s="249">
        <v>6060</v>
      </c>
      <c r="E69" s="250" t="s">
        <v>135</v>
      </c>
      <c r="F69" s="264">
        <v>4300</v>
      </c>
      <c r="G69" s="265">
        <v>0</v>
      </c>
    </row>
    <row r="70" spans="1:7" ht="24" customHeight="1">
      <c r="A70" s="233">
        <v>35</v>
      </c>
      <c r="B70" s="285"/>
      <c r="C70" s="266"/>
      <c r="D70" s="249">
        <v>6060</v>
      </c>
      <c r="E70" s="250" t="s">
        <v>136</v>
      </c>
      <c r="F70" s="264">
        <v>7000</v>
      </c>
      <c r="G70" s="265">
        <v>0</v>
      </c>
    </row>
    <row r="71" spans="1:7" ht="21" customHeight="1">
      <c r="A71" s="233">
        <v>36</v>
      </c>
      <c r="B71" s="285"/>
      <c r="C71" s="262"/>
      <c r="D71" s="301">
        <v>6060</v>
      </c>
      <c r="E71" s="250" t="s">
        <v>137</v>
      </c>
      <c r="F71" s="264">
        <v>5500</v>
      </c>
      <c r="G71" s="265">
        <v>0</v>
      </c>
    </row>
    <row r="72" spans="1:7" ht="21" customHeight="1">
      <c r="A72" s="233"/>
      <c r="B72" s="285">
        <v>852</v>
      </c>
      <c r="C72" s="262"/>
      <c r="D72" s="648"/>
      <c r="E72" s="257" t="s">
        <v>202</v>
      </c>
      <c r="F72" s="258">
        <f>F73</f>
        <v>12500</v>
      </c>
      <c r="G72" s="259"/>
    </row>
    <row r="73" spans="1:7" ht="21" customHeight="1">
      <c r="A73" s="233"/>
      <c r="B73" s="285"/>
      <c r="C73" s="375">
        <v>85219</v>
      </c>
      <c r="D73" s="301"/>
      <c r="E73" s="250" t="s">
        <v>515</v>
      </c>
      <c r="F73" s="264">
        <f>F74</f>
        <v>12500</v>
      </c>
      <c r="G73" s="265"/>
    </row>
    <row r="74" spans="1:7" ht="31.5" customHeight="1">
      <c r="A74" s="233"/>
      <c r="B74" s="285"/>
      <c r="C74" s="262"/>
      <c r="D74" s="301">
        <v>6050</v>
      </c>
      <c r="E74" s="250" t="s">
        <v>514</v>
      </c>
      <c r="F74" s="264">
        <v>12500</v>
      </c>
      <c r="G74" s="265"/>
    </row>
    <row r="75" spans="1:7" ht="29.25" customHeight="1">
      <c r="A75" s="233"/>
      <c r="B75" s="292">
        <v>853</v>
      </c>
      <c r="C75" s="294"/>
      <c r="D75" s="301"/>
      <c r="E75" s="257" t="s">
        <v>138</v>
      </c>
      <c r="F75" s="258">
        <f>F76</f>
        <v>331002</v>
      </c>
      <c r="G75" s="259">
        <f>G76</f>
        <v>0</v>
      </c>
    </row>
    <row r="76" spans="1:7" ht="21.75" customHeight="1">
      <c r="A76" s="291"/>
      <c r="B76" s="292"/>
      <c r="C76" s="261">
        <v>85395</v>
      </c>
      <c r="D76" s="302"/>
      <c r="E76" s="244" t="s">
        <v>139</v>
      </c>
      <c r="F76" s="245">
        <f>SUM(F77:F78)</f>
        <v>331002</v>
      </c>
      <c r="G76" s="246">
        <f>G77</f>
        <v>0</v>
      </c>
    </row>
    <row r="77" spans="1:7" ht="30" customHeight="1">
      <c r="A77" s="207">
        <v>37</v>
      </c>
      <c r="B77" s="303"/>
      <c r="C77" s="241"/>
      <c r="D77" s="233">
        <v>6010</v>
      </c>
      <c r="E77" s="269" t="s">
        <v>140</v>
      </c>
      <c r="F77" s="251">
        <f>250000+1002</f>
        <v>251002</v>
      </c>
      <c r="G77" s="252">
        <v>0</v>
      </c>
    </row>
    <row r="78" spans="1:7" ht="40.5" customHeight="1">
      <c r="A78" s="207">
        <v>38</v>
      </c>
      <c r="B78" s="303"/>
      <c r="C78" s="241"/>
      <c r="D78" s="291">
        <v>6050</v>
      </c>
      <c r="E78" s="269" t="s">
        <v>298</v>
      </c>
      <c r="F78" s="251">
        <v>80000</v>
      </c>
      <c r="G78" s="252"/>
    </row>
    <row r="79" spans="1:7" ht="30" customHeight="1">
      <c r="A79" s="270"/>
      <c r="B79" s="234">
        <v>900</v>
      </c>
      <c r="C79" s="234"/>
      <c r="D79" s="235"/>
      <c r="E79" s="257" t="s">
        <v>141</v>
      </c>
      <c r="F79" s="258">
        <f>F80+F85+F83+F89</f>
        <v>27278911.07</v>
      </c>
      <c r="G79" s="259">
        <f>G80+G85+G83+G89</f>
        <v>6600859.86</v>
      </c>
    </row>
    <row r="80" spans="1:7" ht="27" customHeight="1">
      <c r="A80" s="270"/>
      <c r="B80" s="303"/>
      <c r="C80" s="266">
        <v>90002</v>
      </c>
      <c r="D80" s="268"/>
      <c r="E80" s="244" t="s">
        <v>142</v>
      </c>
      <c r="F80" s="245">
        <f>SUM(F81:F82)</f>
        <v>42000</v>
      </c>
      <c r="G80" s="246">
        <f>SUM(G81:G82)</f>
        <v>42000</v>
      </c>
    </row>
    <row r="81" spans="1:7" ht="21" customHeight="1">
      <c r="A81" s="671">
        <v>39</v>
      </c>
      <c r="B81" s="303"/>
      <c r="C81" s="292"/>
      <c r="D81" s="249">
        <v>6220</v>
      </c>
      <c r="E81" s="673" t="s">
        <v>143</v>
      </c>
      <c r="F81" s="305">
        <v>12000</v>
      </c>
      <c r="G81" s="306">
        <v>12000</v>
      </c>
    </row>
    <row r="82" spans="1:7" ht="18" customHeight="1">
      <c r="A82" s="672"/>
      <c r="B82" s="303"/>
      <c r="C82" s="307"/>
      <c r="D82" s="249">
        <v>6230</v>
      </c>
      <c r="E82" s="674"/>
      <c r="F82" s="305">
        <v>30000</v>
      </c>
      <c r="G82" s="306">
        <v>30000</v>
      </c>
    </row>
    <row r="83" spans="1:15" s="311" customFormat="1" ht="21.75" customHeight="1">
      <c r="A83" s="308"/>
      <c r="B83" s="266"/>
      <c r="C83" s="267">
        <v>90013</v>
      </c>
      <c r="D83" s="243"/>
      <c r="E83" s="489" t="s">
        <v>210</v>
      </c>
      <c r="F83" s="309">
        <f>F84</f>
        <v>57656</v>
      </c>
      <c r="G83" s="310">
        <f>G84</f>
        <v>0</v>
      </c>
      <c r="J83" s="312"/>
      <c r="K83" s="312"/>
      <c r="L83" s="312"/>
      <c r="M83" s="312"/>
      <c r="N83" s="312"/>
      <c r="O83" s="312"/>
    </row>
    <row r="84" spans="1:7" ht="36" customHeight="1">
      <c r="A84" s="218">
        <v>40</v>
      </c>
      <c r="B84" s="303"/>
      <c r="C84" s="303"/>
      <c r="D84" s="249">
        <v>6050</v>
      </c>
      <c r="E84" s="313" t="s">
        <v>144</v>
      </c>
      <c r="F84" s="305">
        <f>58000-344</f>
        <v>57656</v>
      </c>
      <c r="G84" s="306"/>
    </row>
    <row r="85" spans="1:7" ht="27.75" customHeight="1">
      <c r="A85" s="270"/>
      <c r="B85" s="303"/>
      <c r="C85" s="260">
        <v>90015</v>
      </c>
      <c r="D85" s="268"/>
      <c r="E85" s="244" t="s">
        <v>145</v>
      </c>
      <c r="F85" s="314">
        <f>SUM(F86:F88)</f>
        <v>65200</v>
      </c>
      <c r="G85" s="246">
        <f>G88</f>
        <v>0</v>
      </c>
    </row>
    <row r="86" spans="1:15" s="298" customFormat="1" ht="27.75" customHeight="1">
      <c r="A86" s="233">
        <v>41</v>
      </c>
      <c r="B86" s="285"/>
      <c r="C86" s="286"/>
      <c r="D86" s="249">
        <v>6050</v>
      </c>
      <c r="E86" s="250" t="s">
        <v>146</v>
      </c>
      <c r="F86" s="264">
        <v>10000</v>
      </c>
      <c r="G86" s="265">
        <v>0</v>
      </c>
      <c r="J86" s="299"/>
      <c r="K86" s="299"/>
      <c r="L86" s="299"/>
      <c r="M86" s="299"/>
      <c r="N86" s="299"/>
      <c r="O86" s="299"/>
    </row>
    <row r="87" spans="1:15" s="298" customFormat="1" ht="27.75" customHeight="1">
      <c r="A87" s="233"/>
      <c r="B87" s="285"/>
      <c r="C87" s="262"/>
      <c r="D87" s="663">
        <v>6050</v>
      </c>
      <c r="E87" s="664" t="s">
        <v>506</v>
      </c>
      <c r="F87" s="660">
        <v>45200</v>
      </c>
      <c r="G87" s="665"/>
      <c r="J87" s="299"/>
      <c r="K87" s="299"/>
      <c r="L87" s="299"/>
      <c r="M87" s="299"/>
      <c r="N87" s="299"/>
      <c r="O87" s="299"/>
    </row>
    <row r="88" spans="1:7" ht="33" customHeight="1">
      <c r="A88" s="233">
        <v>42</v>
      </c>
      <c r="B88" s="285"/>
      <c r="C88" s="303"/>
      <c r="D88" s="249">
        <v>6050</v>
      </c>
      <c r="E88" s="315" t="s">
        <v>147</v>
      </c>
      <c r="F88" s="305">
        <v>10000</v>
      </c>
      <c r="G88" s="306">
        <v>0</v>
      </c>
    </row>
    <row r="89" spans="1:7" ht="26.25" customHeight="1">
      <c r="A89" s="233"/>
      <c r="B89" s="266"/>
      <c r="C89" s="267">
        <v>90095</v>
      </c>
      <c r="D89" s="268"/>
      <c r="E89" s="244" t="s">
        <v>103</v>
      </c>
      <c r="F89" s="245">
        <f>SUM(F90:F120)</f>
        <v>27114055.07</v>
      </c>
      <c r="G89" s="246">
        <f>SUM(G90:G120)</f>
        <v>6558859.86</v>
      </c>
    </row>
    <row r="90" spans="1:15" s="298" customFormat="1" ht="42.75" customHeight="1">
      <c r="A90" s="207">
        <v>43</v>
      </c>
      <c r="B90" s="316"/>
      <c r="C90" s="262"/>
      <c r="D90" s="249">
        <v>6010</v>
      </c>
      <c r="E90" s="279" t="s">
        <v>148</v>
      </c>
      <c r="F90" s="660">
        <f>70000-20024.23</f>
        <v>49975.770000000004</v>
      </c>
      <c r="G90" s="665">
        <f>70000-20024.23</f>
        <v>49975.770000000004</v>
      </c>
      <c r="J90" s="299"/>
      <c r="K90" s="299"/>
      <c r="L90" s="299"/>
      <c r="M90" s="299"/>
      <c r="N90" s="299"/>
      <c r="O90" s="299"/>
    </row>
    <row r="91" spans="1:15" s="298" customFormat="1" ht="33.75" customHeight="1">
      <c r="A91" s="207">
        <v>44</v>
      </c>
      <c r="B91" s="316"/>
      <c r="C91" s="262"/>
      <c r="D91" s="291">
        <v>6010</v>
      </c>
      <c r="E91" s="250" t="s">
        <v>149</v>
      </c>
      <c r="F91" s="264">
        <v>3470000</v>
      </c>
      <c r="G91" s="265">
        <v>3470000</v>
      </c>
      <c r="J91" s="299"/>
      <c r="K91" s="299"/>
      <c r="L91" s="299"/>
      <c r="M91" s="299"/>
      <c r="N91" s="299"/>
      <c r="O91" s="299"/>
    </row>
    <row r="92" spans="1:15" s="298" customFormat="1" ht="36" customHeight="1">
      <c r="A92" s="207">
        <v>45</v>
      </c>
      <c r="B92" s="316"/>
      <c r="C92" s="262"/>
      <c r="D92" s="249">
        <v>6010</v>
      </c>
      <c r="E92" s="250" t="s">
        <v>150</v>
      </c>
      <c r="F92" s="264">
        <v>350000</v>
      </c>
      <c r="G92" s="265">
        <v>350000</v>
      </c>
      <c r="J92" s="299"/>
      <c r="K92" s="299"/>
      <c r="L92" s="299"/>
      <c r="M92" s="299"/>
      <c r="N92" s="299"/>
      <c r="O92" s="299"/>
    </row>
    <row r="93" spans="1:15" s="298" customFormat="1" ht="58.5" customHeight="1">
      <c r="A93" s="207">
        <v>46</v>
      </c>
      <c r="B93" s="316"/>
      <c r="C93" s="262"/>
      <c r="D93" s="249">
        <v>6010</v>
      </c>
      <c r="E93" s="605" t="s">
        <v>151</v>
      </c>
      <c r="F93" s="264">
        <v>10000</v>
      </c>
      <c r="G93" s="265">
        <v>5000</v>
      </c>
      <c r="I93" s="482"/>
      <c r="J93" s="317"/>
      <c r="K93" s="299"/>
      <c r="L93" s="299"/>
      <c r="M93" s="299"/>
      <c r="N93" s="299"/>
      <c r="O93" s="299"/>
    </row>
    <row r="94" spans="1:15" s="298" customFormat="1" ht="54.75" customHeight="1">
      <c r="A94" s="207">
        <v>47</v>
      </c>
      <c r="B94" s="316"/>
      <c r="C94" s="262"/>
      <c r="D94" s="249">
        <v>6010</v>
      </c>
      <c r="E94" s="605" t="s">
        <v>152</v>
      </c>
      <c r="F94" s="264">
        <v>16000</v>
      </c>
      <c r="G94" s="265">
        <v>16000</v>
      </c>
      <c r="I94" s="482"/>
      <c r="J94" s="299"/>
      <c r="K94" s="299"/>
      <c r="L94" s="299"/>
      <c r="M94" s="299"/>
      <c r="N94" s="299"/>
      <c r="O94" s="299"/>
    </row>
    <row r="95" spans="1:15" s="298" customFormat="1" ht="42.75" customHeight="1">
      <c r="A95" s="207">
        <v>48</v>
      </c>
      <c r="B95" s="316"/>
      <c r="C95" s="262"/>
      <c r="D95" s="249">
        <v>6010</v>
      </c>
      <c r="E95" s="605" t="s">
        <v>153</v>
      </c>
      <c r="F95" s="264">
        <f>36000-19669.26</f>
        <v>16330.740000000002</v>
      </c>
      <c r="G95" s="265">
        <f>30000-17903.03</f>
        <v>12096.970000000001</v>
      </c>
      <c r="I95" s="482"/>
      <c r="J95" s="299"/>
      <c r="K95" s="299"/>
      <c r="L95" s="299"/>
      <c r="M95" s="299"/>
      <c r="N95" s="299"/>
      <c r="O95" s="299"/>
    </row>
    <row r="96" spans="1:15" s="298" customFormat="1" ht="42.75" customHeight="1">
      <c r="A96" s="207">
        <v>49</v>
      </c>
      <c r="B96" s="316"/>
      <c r="C96" s="262"/>
      <c r="D96" s="249">
        <v>6010</v>
      </c>
      <c r="E96" s="605" t="s">
        <v>1</v>
      </c>
      <c r="F96" s="666">
        <f>30000-30000</f>
        <v>0</v>
      </c>
      <c r="G96" s="265"/>
      <c r="I96" s="482"/>
      <c r="J96" s="299"/>
      <c r="K96" s="299"/>
      <c r="L96" s="299"/>
      <c r="M96" s="299"/>
      <c r="N96" s="299"/>
      <c r="O96" s="299"/>
    </row>
    <row r="97" spans="1:15" s="298" customFormat="1" ht="42.75" customHeight="1">
      <c r="A97" s="207">
        <v>50</v>
      </c>
      <c r="B97" s="316"/>
      <c r="C97" s="262"/>
      <c r="D97" s="249">
        <v>6010</v>
      </c>
      <c r="E97" s="605" t="s">
        <v>154</v>
      </c>
      <c r="F97" s="264">
        <v>70000</v>
      </c>
      <c r="G97" s="265"/>
      <c r="I97" s="482"/>
      <c r="J97" s="299"/>
      <c r="K97" s="299"/>
      <c r="L97" s="299"/>
      <c r="M97" s="299"/>
      <c r="N97" s="299"/>
      <c r="O97" s="299"/>
    </row>
    <row r="98" spans="1:15" s="298" customFormat="1" ht="42.75" customHeight="1">
      <c r="A98" s="207">
        <v>51</v>
      </c>
      <c r="B98" s="316"/>
      <c r="C98" s="262"/>
      <c r="D98" s="249">
        <v>6010</v>
      </c>
      <c r="E98" s="605" t="s">
        <v>155</v>
      </c>
      <c r="F98" s="660">
        <f>40000-20151.66</f>
        <v>19848.34</v>
      </c>
      <c r="G98" s="265"/>
      <c r="I98" s="482"/>
      <c r="J98" s="299"/>
      <c r="K98" s="299"/>
      <c r="L98" s="299"/>
      <c r="M98" s="299"/>
      <c r="N98" s="299"/>
      <c r="O98" s="299"/>
    </row>
    <row r="99" spans="1:15" s="298" customFormat="1" ht="38.25" customHeight="1">
      <c r="A99" s="207">
        <v>52</v>
      </c>
      <c r="B99" s="316"/>
      <c r="C99" s="262"/>
      <c r="D99" s="249">
        <v>6010</v>
      </c>
      <c r="E99" s="605" t="s">
        <v>156</v>
      </c>
      <c r="F99" s="264">
        <f>10000-958.08</f>
        <v>9041.92</v>
      </c>
      <c r="G99" s="265"/>
      <c r="I99" s="482"/>
      <c r="J99" s="299"/>
      <c r="K99" s="299"/>
      <c r="L99" s="299"/>
      <c r="M99" s="299"/>
      <c r="N99" s="299"/>
      <c r="O99" s="299"/>
    </row>
    <row r="100" spans="1:15" s="298" customFormat="1" ht="36.75" customHeight="1">
      <c r="A100" s="207">
        <v>53</v>
      </c>
      <c r="B100" s="316"/>
      <c r="C100" s="262"/>
      <c r="D100" s="249">
        <v>6010</v>
      </c>
      <c r="E100" s="605" t="s">
        <v>157</v>
      </c>
      <c r="F100" s="264">
        <v>30000</v>
      </c>
      <c r="G100" s="265">
        <v>30000</v>
      </c>
      <c r="I100" s="482"/>
      <c r="J100" s="299"/>
      <c r="K100" s="299"/>
      <c r="L100" s="299"/>
      <c r="M100" s="299"/>
      <c r="N100" s="299"/>
      <c r="O100" s="299"/>
    </row>
    <row r="101" spans="1:15" s="298" customFormat="1" ht="36.75" customHeight="1">
      <c r="A101" s="207">
        <v>54</v>
      </c>
      <c r="B101" s="316"/>
      <c r="C101" s="262"/>
      <c r="D101" s="249">
        <v>6010</v>
      </c>
      <c r="E101" s="320" t="s">
        <v>211</v>
      </c>
      <c r="F101" s="264">
        <v>10000</v>
      </c>
      <c r="G101" s="265">
        <v>3500</v>
      </c>
      <c r="I101" s="482"/>
      <c r="J101" s="299"/>
      <c r="K101" s="299"/>
      <c r="L101" s="299"/>
      <c r="M101" s="299"/>
      <c r="N101" s="299"/>
      <c r="O101" s="299"/>
    </row>
    <row r="102" spans="1:15" s="298" customFormat="1" ht="36.75" customHeight="1">
      <c r="A102" s="207">
        <v>55</v>
      </c>
      <c r="B102" s="316"/>
      <c r="C102" s="262"/>
      <c r="D102" s="249">
        <v>6010</v>
      </c>
      <c r="E102" s="320" t="s">
        <v>212</v>
      </c>
      <c r="F102" s="264">
        <v>170880</v>
      </c>
      <c r="G102" s="265">
        <v>163300</v>
      </c>
      <c r="I102" s="482"/>
      <c r="J102" s="299"/>
      <c r="K102" s="299"/>
      <c r="L102" s="299"/>
      <c r="M102" s="299"/>
      <c r="N102" s="299"/>
      <c r="O102" s="299"/>
    </row>
    <row r="103" spans="1:15" s="298" customFormat="1" ht="36.75" customHeight="1">
      <c r="A103" s="207">
        <v>56</v>
      </c>
      <c r="B103" s="316"/>
      <c r="C103" s="262"/>
      <c r="D103" s="249">
        <v>6050</v>
      </c>
      <c r="E103" s="320" t="s">
        <v>299</v>
      </c>
      <c r="F103" s="264">
        <v>200000</v>
      </c>
      <c r="G103" s="265">
        <v>200000</v>
      </c>
      <c r="I103" s="482"/>
      <c r="J103" s="299"/>
      <c r="K103" s="299"/>
      <c r="L103" s="299"/>
      <c r="M103" s="299"/>
      <c r="N103" s="299"/>
      <c r="O103" s="299"/>
    </row>
    <row r="104" spans="1:15" s="298" customFormat="1" ht="37.5" customHeight="1">
      <c r="A104" s="207">
        <v>57</v>
      </c>
      <c r="B104" s="316"/>
      <c r="C104" s="262"/>
      <c r="D104" s="249">
        <v>6050</v>
      </c>
      <c r="E104" s="250" t="s">
        <v>158</v>
      </c>
      <c r="F104" s="264">
        <f>471500-2700+3060+8979</f>
        <v>480839</v>
      </c>
      <c r="G104" s="265">
        <f>471500-2700</f>
        <v>468800</v>
      </c>
      <c r="J104" s="299"/>
      <c r="K104" s="299"/>
      <c r="L104" s="299"/>
      <c r="M104" s="299"/>
      <c r="N104" s="299"/>
      <c r="O104" s="299"/>
    </row>
    <row r="105" spans="1:15" s="298" customFormat="1" ht="49.5" customHeight="1">
      <c r="A105" s="207">
        <v>58</v>
      </c>
      <c r="B105" s="316"/>
      <c r="C105" s="262"/>
      <c r="D105" s="249">
        <v>6050</v>
      </c>
      <c r="E105" s="250" t="s">
        <v>159</v>
      </c>
      <c r="F105" s="264">
        <f>130000-6700-50000</f>
        <v>73300</v>
      </c>
      <c r="G105" s="265">
        <v>0</v>
      </c>
      <c r="J105" s="299"/>
      <c r="K105" s="299"/>
      <c r="L105" s="299"/>
      <c r="M105" s="299"/>
      <c r="N105" s="299"/>
      <c r="O105" s="299"/>
    </row>
    <row r="106" spans="1:15" s="298" customFormat="1" ht="41.25" customHeight="1">
      <c r="A106" s="207">
        <v>59</v>
      </c>
      <c r="B106" s="316"/>
      <c r="C106" s="262"/>
      <c r="D106" s="249">
        <v>6050</v>
      </c>
      <c r="E106" s="250" t="s">
        <v>160</v>
      </c>
      <c r="F106" s="264">
        <v>47000</v>
      </c>
      <c r="G106" s="265">
        <v>47000</v>
      </c>
      <c r="J106" s="317"/>
      <c r="K106" s="317"/>
      <c r="L106" s="317"/>
      <c r="M106" s="299"/>
      <c r="N106" s="299"/>
      <c r="O106" s="299"/>
    </row>
    <row r="107" spans="1:12" ht="30.75" customHeight="1">
      <c r="A107" s="207">
        <v>60</v>
      </c>
      <c r="B107" s="318"/>
      <c r="C107" s="266"/>
      <c r="D107" s="249">
        <v>6050</v>
      </c>
      <c r="E107" s="250" t="s">
        <v>161</v>
      </c>
      <c r="F107" s="264">
        <f>1825000-8300+18450</f>
        <v>1835150</v>
      </c>
      <c r="G107" s="265">
        <v>0</v>
      </c>
      <c r="J107" s="319"/>
      <c r="K107" s="319"/>
      <c r="L107" s="319"/>
    </row>
    <row r="108" spans="1:12" ht="37.5" customHeight="1">
      <c r="A108" s="207">
        <v>61</v>
      </c>
      <c r="B108" s="318"/>
      <c r="C108" s="266"/>
      <c r="D108" s="249">
        <v>6050</v>
      </c>
      <c r="E108" s="250" t="s">
        <v>162</v>
      </c>
      <c r="F108" s="264">
        <f>200000-3047</f>
        <v>196953</v>
      </c>
      <c r="G108" s="265">
        <v>0</v>
      </c>
      <c r="J108" s="319"/>
      <c r="K108" s="319"/>
      <c r="L108" s="319"/>
    </row>
    <row r="109" spans="1:12" ht="34.5" customHeight="1">
      <c r="A109" s="207">
        <v>62</v>
      </c>
      <c r="B109" s="318"/>
      <c r="C109" s="266"/>
      <c r="D109" s="249">
        <v>6050</v>
      </c>
      <c r="E109" s="250" t="s">
        <v>163</v>
      </c>
      <c r="F109" s="264">
        <v>35000</v>
      </c>
      <c r="G109" s="265">
        <v>35000</v>
      </c>
      <c r="J109" s="319"/>
      <c r="K109" s="319"/>
      <c r="L109" s="319"/>
    </row>
    <row r="110" spans="1:12" ht="28.5" customHeight="1">
      <c r="A110" s="207">
        <v>63</v>
      </c>
      <c r="B110" s="318"/>
      <c r="C110" s="266"/>
      <c r="D110" s="249">
        <v>6050</v>
      </c>
      <c r="E110" s="250" t="s">
        <v>164</v>
      </c>
      <c r="F110" s="264">
        <f>78800-7515+7515-65</f>
        <v>78735</v>
      </c>
      <c r="G110" s="265"/>
      <c r="J110" s="319"/>
      <c r="K110" s="319"/>
      <c r="L110" s="319"/>
    </row>
    <row r="111" spans="1:12" ht="34.5" customHeight="1">
      <c r="A111" s="207">
        <v>64</v>
      </c>
      <c r="B111" s="318"/>
      <c r="C111" s="266"/>
      <c r="D111" s="249">
        <v>6050</v>
      </c>
      <c r="E111" s="250" t="s">
        <v>165</v>
      </c>
      <c r="F111" s="264">
        <f>15500-248</f>
        <v>15252</v>
      </c>
      <c r="G111" s="265"/>
      <c r="J111" s="319"/>
      <c r="K111" s="319"/>
      <c r="L111" s="319"/>
    </row>
    <row r="112" spans="1:10" ht="29.25" customHeight="1">
      <c r="A112" s="207">
        <v>65</v>
      </c>
      <c r="B112" s="318"/>
      <c r="C112" s="266"/>
      <c r="D112" s="249">
        <v>6050</v>
      </c>
      <c r="E112" s="250" t="s">
        <v>166</v>
      </c>
      <c r="F112" s="264">
        <f>16200+29999</f>
        <v>46199</v>
      </c>
      <c r="G112" s="246">
        <v>0</v>
      </c>
      <c r="J112" s="319"/>
    </row>
    <row r="113" spans="1:10" ht="29.25" customHeight="1">
      <c r="A113" s="207">
        <v>66</v>
      </c>
      <c r="B113" s="318"/>
      <c r="C113" s="266"/>
      <c r="D113" s="249">
        <v>6050</v>
      </c>
      <c r="E113" s="320" t="s">
        <v>71</v>
      </c>
      <c r="F113" s="264">
        <v>200000</v>
      </c>
      <c r="G113" s="265">
        <v>156000</v>
      </c>
      <c r="I113" s="321"/>
      <c r="J113" s="319"/>
    </row>
    <row r="114" spans="1:10" ht="45.75" customHeight="1">
      <c r="A114" s="207">
        <v>67</v>
      </c>
      <c r="B114" s="318"/>
      <c r="C114" s="266"/>
      <c r="D114" s="249">
        <v>6050</v>
      </c>
      <c r="E114" s="320" t="s">
        <v>167</v>
      </c>
      <c r="F114" s="264">
        <f>20000-5200</f>
        <v>14800</v>
      </c>
      <c r="G114" s="265"/>
      <c r="I114" s="321"/>
      <c r="J114" s="319"/>
    </row>
    <row r="115" spans="1:15" s="44" customFormat="1" ht="29.25" customHeight="1">
      <c r="A115" s="207">
        <v>68</v>
      </c>
      <c r="B115" s="318"/>
      <c r="C115" s="266"/>
      <c r="D115" s="249">
        <v>6050</v>
      </c>
      <c r="E115" s="490" t="s">
        <v>283</v>
      </c>
      <c r="F115" s="264">
        <f>100000-92989</f>
        <v>7011</v>
      </c>
      <c r="G115" s="265"/>
      <c r="I115" s="481"/>
      <c r="J115" s="354"/>
      <c r="K115" s="355"/>
      <c r="L115" s="355"/>
      <c r="M115" s="355"/>
      <c r="N115" s="355"/>
      <c r="O115" s="355"/>
    </row>
    <row r="116" spans="1:9" ht="66" customHeight="1">
      <c r="A116" s="207">
        <v>69</v>
      </c>
      <c r="B116" s="318"/>
      <c r="C116" s="266"/>
      <c r="D116" s="249">
        <v>6050</v>
      </c>
      <c r="E116" s="304" t="s">
        <v>168</v>
      </c>
      <c r="F116" s="305">
        <f>360000-9700-16</f>
        <v>350284</v>
      </c>
      <c r="G116" s="306">
        <v>0</v>
      </c>
      <c r="I116" s="239"/>
    </row>
    <row r="117" spans="1:10" ht="25.5" customHeight="1">
      <c r="A117" s="671">
        <v>70</v>
      </c>
      <c r="B117" s="318"/>
      <c r="C117" s="266"/>
      <c r="D117" s="249">
        <v>6050</v>
      </c>
      <c r="E117" s="677" t="s">
        <v>70</v>
      </c>
      <c r="F117" s="636">
        <f>5350.5+130000+650000-108150</f>
        <v>677200.5</v>
      </c>
      <c r="G117" s="306"/>
      <c r="J117" s="319"/>
    </row>
    <row r="118" spans="1:9" ht="23.25" customHeight="1">
      <c r="A118" s="675"/>
      <c r="B118" s="318"/>
      <c r="C118" s="266"/>
      <c r="D118" s="249">
        <v>6057</v>
      </c>
      <c r="E118" s="678"/>
      <c r="F118" s="280">
        <f>10913694.17+1463846.37</f>
        <v>12377540.54</v>
      </c>
      <c r="G118" s="265">
        <v>0</v>
      </c>
      <c r="H118" s="321">
        <f>F118+F119</f>
        <v>17964254.799999997</v>
      </c>
      <c r="I118" s="321"/>
    </row>
    <row r="119" spans="1:9" ht="20.25" customHeight="1">
      <c r="A119" s="676"/>
      <c r="B119" s="318"/>
      <c r="C119" s="266"/>
      <c r="D119" s="249">
        <v>6059</v>
      </c>
      <c r="E119" s="674"/>
      <c r="F119" s="280">
        <f>882187.12+4704527.14</f>
        <v>5586714.26</v>
      </c>
      <c r="G119" s="265">
        <v>882187.12</v>
      </c>
      <c r="I119" s="321"/>
    </row>
    <row r="120" spans="1:7" ht="30.75" customHeight="1">
      <c r="A120" s="218">
        <v>71</v>
      </c>
      <c r="B120" s="318"/>
      <c r="C120" s="266"/>
      <c r="D120" s="249">
        <v>6230</v>
      </c>
      <c r="E120" s="491" t="s">
        <v>169</v>
      </c>
      <c r="F120" s="305">
        <f>150000+500000+20000</f>
        <v>670000</v>
      </c>
      <c r="G120" s="306">
        <f>150000+500000+20000</f>
        <v>670000</v>
      </c>
    </row>
    <row r="121" spans="1:15" s="325" customFormat="1" ht="29.25" customHeight="1">
      <c r="A121" s="270"/>
      <c r="B121" s="322">
        <v>921</v>
      </c>
      <c r="C121" s="322"/>
      <c r="D121" s="270"/>
      <c r="E121" s="323" t="s">
        <v>170</v>
      </c>
      <c r="F121" s="324">
        <f>F122+F124</f>
        <v>860000</v>
      </c>
      <c r="G121" s="361">
        <f>G122+G124</f>
        <v>450000</v>
      </c>
      <c r="J121" s="326"/>
      <c r="K121" s="326"/>
      <c r="L121" s="326"/>
      <c r="M121" s="326"/>
      <c r="N121" s="326"/>
      <c r="O121" s="326"/>
    </row>
    <row r="122" spans="1:15" s="311" customFormat="1" ht="29.25" customHeight="1">
      <c r="A122" s="327" t="s">
        <v>5</v>
      </c>
      <c r="B122" s="328"/>
      <c r="C122" s="329">
        <v>92109</v>
      </c>
      <c r="D122" s="330"/>
      <c r="E122" s="331" t="s">
        <v>171</v>
      </c>
      <c r="F122" s="332">
        <f>F123</f>
        <v>854000</v>
      </c>
      <c r="G122" s="333">
        <f>G123</f>
        <v>450000</v>
      </c>
      <c r="J122" s="312"/>
      <c r="K122" s="312"/>
      <c r="L122" s="312"/>
      <c r="M122" s="312"/>
      <c r="N122" s="312"/>
      <c r="O122" s="312"/>
    </row>
    <row r="123" spans="1:7" ht="34.5" customHeight="1">
      <c r="A123" s="207">
        <v>72</v>
      </c>
      <c r="B123" s="334"/>
      <c r="C123" s="335"/>
      <c r="D123" s="300">
        <v>6050</v>
      </c>
      <c r="E123" s="315" t="s">
        <v>172</v>
      </c>
      <c r="F123" s="305">
        <f>850000+30000-26000</f>
        <v>854000</v>
      </c>
      <c r="G123" s="306">
        <v>450000</v>
      </c>
    </row>
    <row r="124" spans="1:7" ht="21.75" customHeight="1">
      <c r="A124" s="207"/>
      <c r="B124" s="334"/>
      <c r="C124" s="336">
        <v>92195</v>
      </c>
      <c r="D124" s="300"/>
      <c r="E124" s="337" t="s">
        <v>103</v>
      </c>
      <c r="F124" s="305">
        <f>F125</f>
        <v>6000</v>
      </c>
      <c r="G124" s="306">
        <f>G125</f>
        <v>0</v>
      </c>
    </row>
    <row r="125" spans="1:7" ht="28.5" customHeight="1">
      <c r="A125" s="207">
        <v>73</v>
      </c>
      <c r="B125" s="334"/>
      <c r="C125" s="335"/>
      <c r="D125" s="300">
        <v>6050</v>
      </c>
      <c r="E125" s="315" t="s">
        <v>173</v>
      </c>
      <c r="F125" s="305">
        <v>6000</v>
      </c>
      <c r="G125" s="306"/>
    </row>
    <row r="126" spans="1:7" ht="30" customHeight="1">
      <c r="A126" s="207"/>
      <c r="B126" s="322">
        <v>926</v>
      </c>
      <c r="C126" s="234"/>
      <c r="D126" s="270"/>
      <c r="E126" s="338" t="s">
        <v>174</v>
      </c>
      <c r="F126" s="339">
        <f>F127+F129</f>
        <v>82040</v>
      </c>
      <c r="G126" s="306"/>
    </row>
    <row r="127" spans="1:7" ht="30" customHeight="1">
      <c r="A127" s="248"/>
      <c r="B127" s="341"/>
      <c r="C127" s="283">
        <v>92601</v>
      </c>
      <c r="D127" s="283"/>
      <c r="E127" s="340" t="s">
        <v>175</v>
      </c>
      <c r="F127" s="305">
        <f>F128</f>
        <v>40000</v>
      </c>
      <c r="G127" s="306"/>
    </row>
    <row r="128" spans="1:7" ht="30" customHeight="1">
      <c r="A128" s="248">
        <v>74</v>
      </c>
      <c r="B128" s="341"/>
      <c r="C128" s="207"/>
      <c r="D128" s="342">
        <v>6050</v>
      </c>
      <c r="E128" s="343" t="s">
        <v>295</v>
      </c>
      <c r="F128" s="305">
        <v>40000</v>
      </c>
      <c r="G128" s="306"/>
    </row>
    <row r="129" spans="1:15" s="311" customFormat="1" ht="27.75" customHeight="1">
      <c r="A129" s="308"/>
      <c r="B129" s="392"/>
      <c r="C129" s="283">
        <v>92604</v>
      </c>
      <c r="D129" s="393"/>
      <c r="E129" s="394" t="s">
        <v>213</v>
      </c>
      <c r="F129" s="309">
        <f>F130+F131</f>
        <v>42040</v>
      </c>
      <c r="G129" s="310"/>
      <c r="J129" s="312"/>
      <c r="K129" s="312"/>
      <c r="L129" s="312"/>
      <c r="M129" s="312"/>
      <c r="N129" s="312"/>
      <c r="O129" s="312"/>
    </row>
    <row r="130" spans="1:15" s="298" customFormat="1" ht="27.75" customHeight="1">
      <c r="A130" s="218">
        <v>75</v>
      </c>
      <c r="B130" s="341"/>
      <c r="C130" s="248"/>
      <c r="D130" s="342">
        <v>6060</v>
      </c>
      <c r="E130" s="395" t="s">
        <v>365</v>
      </c>
      <c r="F130" s="305">
        <v>30000</v>
      </c>
      <c r="G130" s="306"/>
      <c r="J130" s="299"/>
      <c r="K130" s="299"/>
      <c r="L130" s="299"/>
      <c r="M130" s="299"/>
      <c r="N130" s="299"/>
      <c r="O130" s="299"/>
    </row>
    <row r="131" spans="1:7" ht="31.5" customHeight="1">
      <c r="A131" s="218">
        <v>76</v>
      </c>
      <c r="B131" s="341"/>
      <c r="C131" s="248"/>
      <c r="D131" s="233">
        <v>6060</v>
      </c>
      <c r="E131" s="395" t="s">
        <v>214</v>
      </c>
      <c r="F131" s="305">
        <f>15000-2960</f>
        <v>12040</v>
      </c>
      <c r="G131" s="306"/>
    </row>
    <row r="132" spans="1:10" ht="30" customHeight="1">
      <c r="A132" s="218"/>
      <c r="B132" s="344" t="s">
        <v>176</v>
      </c>
      <c r="C132" s="345"/>
      <c r="D132" s="291"/>
      <c r="E132" s="346"/>
      <c r="F132" s="237">
        <f>F133+F144+F148+F152+F158+F161+F172+F175+F178</f>
        <v>9718348.3</v>
      </c>
      <c r="G132" s="238">
        <f>G133+G144+G148+G152+G158+G161+G172+G175+G178</f>
        <v>498009.64</v>
      </c>
      <c r="J132" s="225"/>
    </row>
    <row r="133" spans="1:10" ht="26.25" customHeight="1">
      <c r="A133" s="270"/>
      <c r="B133" s="292">
        <v>600</v>
      </c>
      <c r="C133" s="234"/>
      <c r="D133" s="235"/>
      <c r="E133" s="257" t="s">
        <v>94</v>
      </c>
      <c r="F133" s="258">
        <f>F134+F136</f>
        <v>8172711.8</v>
      </c>
      <c r="G133" s="259">
        <f>G136</f>
        <v>495309.64</v>
      </c>
      <c r="J133" s="240"/>
    </row>
    <row r="134" spans="1:15" s="311" customFormat="1" ht="26.25" customHeight="1">
      <c r="A134" s="347"/>
      <c r="B134" s="348"/>
      <c r="C134" s="267">
        <v>60013</v>
      </c>
      <c r="D134" s="243"/>
      <c r="E134" s="244" t="s">
        <v>177</v>
      </c>
      <c r="F134" s="245">
        <f>F135</f>
        <v>250000</v>
      </c>
      <c r="G134" s="349"/>
      <c r="J134" s="350"/>
      <c r="K134" s="312"/>
      <c r="L134" s="312"/>
      <c r="M134" s="312"/>
      <c r="N134" s="312"/>
      <c r="O134" s="312"/>
    </row>
    <row r="135" spans="1:10" ht="63" customHeight="1">
      <c r="A135" s="233">
        <v>77</v>
      </c>
      <c r="B135" s="292"/>
      <c r="C135" s="234"/>
      <c r="D135" s="233">
        <v>6300</v>
      </c>
      <c r="E135" s="351" t="s">
        <v>178</v>
      </c>
      <c r="F135" s="305">
        <f>95000+155000</f>
        <v>250000</v>
      </c>
      <c r="G135" s="306"/>
      <c r="J135" s="240"/>
    </row>
    <row r="136" spans="1:10" ht="27" customHeight="1">
      <c r="A136" s="233"/>
      <c r="B136" s="260"/>
      <c r="C136" s="267">
        <v>60015</v>
      </c>
      <c r="D136" s="243"/>
      <c r="E136" s="244" t="s">
        <v>179</v>
      </c>
      <c r="F136" s="245">
        <f>SUM(F137:F143)</f>
        <v>7922711.8</v>
      </c>
      <c r="G136" s="246">
        <f>SUM(G137:G143)</f>
        <v>495309.64</v>
      </c>
      <c r="J136" s="319"/>
    </row>
    <row r="137" spans="1:15" s="44" customFormat="1" ht="30.75" customHeight="1">
      <c r="A137" s="233">
        <v>78</v>
      </c>
      <c r="B137" s="352"/>
      <c r="C137" s="262"/>
      <c r="D137" s="249">
        <v>6050</v>
      </c>
      <c r="E137" s="279" t="s">
        <v>180</v>
      </c>
      <c r="F137" s="353">
        <f>9655000-155000+3906793.48-7997793.48</f>
        <v>5409000</v>
      </c>
      <c r="G137" s="306">
        <f>473012.76-473012.76</f>
        <v>0</v>
      </c>
      <c r="J137" s="354"/>
      <c r="K137" s="355"/>
      <c r="L137" s="355"/>
      <c r="M137" s="355"/>
      <c r="N137" s="355"/>
      <c r="O137" s="355"/>
    </row>
    <row r="138" spans="1:15" s="44" customFormat="1" ht="28.5" customHeight="1">
      <c r="A138" s="233">
        <v>79</v>
      </c>
      <c r="B138" s="352"/>
      <c r="C138" s="262"/>
      <c r="D138" s="249">
        <v>6050</v>
      </c>
      <c r="E138" s="279" t="s">
        <v>181</v>
      </c>
      <c r="F138" s="305">
        <f>400000-3500</f>
        <v>396500</v>
      </c>
      <c r="G138" s="306">
        <f>22305.88-9</f>
        <v>22296.88</v>
      </c>
      <c r="J138" s="354"/>
      <c r="K138" s="355"/>
      <c r="L138" s="355"/>
      <c r="M138" s="355"/>
      <c r="N138" s="355"/>
      <c r="O138" s="355"/>
    </row>
    <row r="139" spans="1:15" s="44" customFormat="1" ht="26.25" customHeight="1">
      <c r="A139" s="233">
        <v>80</v>
      </c>
      <c r="B139" s="352"/>
      <c r="C139" s="262"/>
      <c r="D139" s="249">
        <v>6050</v>
      </c>
      <c r="E139" s="315" t="s">
        <v>296</v>
      </c>
      <c r="F139" s="667">
        <f>36000+2000000-45200-220000</f>
        <v>1770800</v>
      </c>
      <c r="G139" s="306">
        <v>473012.76</v>
      </c>
      <c r="J139" s="354"/>
      <c r="K139" s="355"/>
      <c r="L139" s="355"/>
      <c r="M139" s="355"/>
      <c r="N139" s="355"/>
      <c r="O139" s="355"/>
    </row>
    <row r="140" spans="1:15" s="44" customFormat="1" ht="32.25" customHeight="1">
      <c r="A140" s="233">
        <v>81</v>
      </c>
      <c r="B140" s="352"/>
      <c r="C140" s="262"/>
      <c r="D140" s="249">
        <v>6050</v>
      </c>
      <c r="E140" s="279" t="s">
        <v>182</v>
      </c>
      <c r="F140" s="305">
        <v>20000</v>
      </c>
      <c r="G140" s="306"/>
      <c r="J140" s="354"/>
      <c r="K140" s="355"/>
      <c r="L140" s="355"/>
      <c r="M140" s="355"/>
      <c r="N140" s="355"/>
      <c r="O140" s="355"/>
    </row>
    <row r="141" spans="1:15" s="44" customFormat="1" ht="33" customHeight="1">
      <c r="A141" s="233">
        <v>82</v>
      </c>
      <c r="B141" s="352"/>
      <c r="C141" s="262"/>
      <c r="D141" s="249">
        <v>6050</v>
      </c>
      <c r="E141" s="250" t="s">
        <v>183</v>
      </c>
      <c r="F141" s="305">
        <v>60712.8</v>
      </c>
      <c r="G141" s="306"/>
      <c r="J141" s="354"/>
      <c r="K141" s="355"/>
      <c r="L141" s="355"/>
      <c r="M141" s="355"/>
      <c r="N141" s="355"/>
      <c r="O141" s="355"/>
    </row>
    <row r="142" spans="1:15" s="44" customFormat="1" ht="62.25" customHeight="1">
      <c r="A142" s="233">
        <v>83</v>
      </c>
      <c r="B142" s="352"/>
      <c r="C142" s="262"/>
      <c r="D142" s="233">
        <v>6050</v>
      </c>
      <c r="E142" s="269" t="s">
        <v>297</v>
      </c>
      <c r="F142" s="305">
        <v>55000</v>
      </c>
      <c r="G142" s="306"/>
      <c r="J142" s="354"/>
      <c r="K142" s="355"/>
      <c r="L142" s="355"/>
      <c r="M142" s="355"/>
      <c r="N142" s="355"/>
      <c r="O142" s="355"/>
    </row>
    <row r="143" spans="1:15" s="44" customFormat="1" ht="54.75" customHeight="1">
      <c r="A143" s="233">
        <v>84</v>
      </c>
      <c r="B143" s="352"/>
      <c r="C143" s="262"/>
      <c r="D143" s="218">
        <v>6050</v>
      </c>
      <c r="E143" s="356" t="s">
        <v>184</v>
      </c>
      <c r="F143" s="305">
        <f>400000-189301</f>
        <v>210699</v>
      </c>
      <c r="G143" s="306"/>
      <c r="J143" s="354"/>
      <c r="K143" s="355"/>
      <c r="L143" s="357"/>
      <c r="M143" s="355"/>
      <c r="N143" s="355"/>
      <c r="O143" s="355"/>
    </row>
    <row r="144" spans="1:15" s="362" customFormat="1" ht="25.5" customHeight="1">
      <c r="A144" s="270"/>
      <c r="B144" s="358">
        <v>630</v>
      </c>
      <c r="C144" s="234"/>
      <c r="D144" s="359"/>
      <c r="E144" s="360" t="s">
        <v>185</v>
      </c>
      <c r="F144" s="324">
        <f>F145</f>
        <v>772810</v>
      </c>
      <c r="G144" s="361">
        <f>G145</f>
        <v>2700</v>
      </c>
      <c r="J144" s="363"/>
      <c r="K144" s="364"/>
      <c r="L144" s="364"/>
      <c r="M144" s="364"/>
      <c r="N144" s="364"/>
      <c r="O144" s="364"/>
    </row>
    <row r="145" spans="1:15" s="366" customFormat="1" ht="21" customHeight="1">
      <c r="A145" s="233"/>
      <c r="B145" s="278"/>
      <c r="C145" s="267">
        <v>63095</v>
      </c>
      <c r="D145" s="365"/>
      <c r="E145" s="337" t="s">
        <v>103</v>
      </c>
      <c r="F145" s="332">
        <f>SUM(F146:F147)</f>
        <v>772810</v>
      </c>
      <c r="G145" s="333">
        <f>SUM(G146:G147)</f>
        <v>2700</v>
      </c>
      <c r="J145" s="367"/>
      <c r="K145" s="368"/>
      <c r="L145" s="368"/>
      <c r="M145" s="368"/>
      <c r="N145" s="368"/>
      <c r="O145" s="368"/>
    </row>
    <row r="146" spans="1:15" s="372" customFormat="1" ht="21" customHeight="1">
      <c r="A146" s="233">
        <v>85</v>
      </c>
      <c r="B146" s="352"/>
      <c r="C146" s="262"/>
      <c r="D146" s="369">
        <v>6050</v>
      </c>
      <c r="E146" s="279" t="s">
        <v>215</v>
      </c>
      <c r="F146" s="370">
        <v>24000</v>
      </c>
      <c r="G146" s="371"/>
      <c r="J146" s="373"/>
      <c r="K146" s="374"/>
      <c r="L146" s="374"/>
      <c r="M146" s="374"/>
      <c r="N146" s="374"/>
      <c r="O146" s="374"/>
    </row>
    <row r="147" spans="1:15" s="366" customFormat="1" ht="31.5" customHeight="1">
      <c r="A147" s="233">
        <v>86</v>
      </c>
      <c r="B147" s="278"/>
      <c r="C147" s="266"/>
      <c r="D147" s="249">
        <v>6050</v>
      </c>
      <c r="E147" s="279" t="s">
        <v>186</v>
      </c>
      <c r="F147" s="305">
        <f>680000+100+2700+10+66000</f>
        <v>748810</v>
      </c>
      <c r="G147" s="306">
        <v>2700</v>
      </c>
      <c r="J147" s="367"/>
      <c r="K147" s="368"/>
      <c r="L147" s="368"/>
      <c r="M147" s="368"/>
      <c r="N147" s="368"/>
      <c r="O147" s="368"/>
    </row>
    <row r="148" spans="1:15" s="366" customFormat="1" ht="25.5" customHeight="1">
      <c r="A148" s="233"/>
      <c r="B148" s="358">
        <v>710</v>
      </c>
      <c r="C148" s="234"/>
      <c r="D148" s="359"/>
      <c r="E148" s="360" t="s">
        <v>187</v>
      </c>
      <c r="F148" s="324">
        <f>F149</f>
        <v>34500</v>
      </c>
      <c r="G148" s="361">
        <f>G149</f>
        <v>0</v>
      </c>
      <c r="J148" s="367"/>
      <c r="K148" s="368"/>
      <c r="L148" s="368"/>
      <c r="M148" s="368"/>
      <c r="N148" s="368"/>
      <c r="O148" s="368"/>
    </row>
    <row r="149" spans="1:15" s="366" customFormat="1" ht="27" customHeight="1">
      <c r="A149" s="233"/>
      <c r="B149" s="278"/>
      <c r="C149" s="267">
        <v>71012</v>
      </c>
      <c r="D149" s="365"/>
      <c r="E149" s="337" t="s">
        <v>188</v>
      </c>
      <c r="F149" s="332">
        <f>F150+F151</f>
        <v>34500</v>
      </c>
      <c r="G149" s="333">
        <f>G151</f>
        <v>0</v>
      </c>
      <c r="J149" s="368"/>
      <c r="K149" s="368"/>
      <c r="L149" s="368"/>
      <c r="M149" s="368"/>
      <c r="N149" s="368"/>
      <c r="O149" s="368"/>
    </row>
    <row r="150" spans="1:15" s="649" customFormat="1" ht="27" customHeight="1">
      <c r="A150" s="233"/>
      <c r="B150" s="352"/>
      <c r="C150" s="262"/>
      <c r="D150" s="369">
        <v>6060</v>
      </c>
      <c r="E150" s="279" t="s">
        <v>452</v>
      </c>
      <c r="F150" s="370">
        <v>20000</v>
      </c>
      <c r="G150" s="371"/>
      <c r="J150" s="650"/>
      <c r="K150" s="650"/>
      <c r="L150" s="650"/>
      <c r="M150" s="650"/>
      <c r="N150" s="650"/>
      <c r="O150" s="650"/>
    </row>
    <row r="151" spans="1:15" s="366" customFormat="1" ht="24.75" customHeight="1">
      <c r="A151" s="233">
        <v>87</v>
      </c>
      <c r="B151" s="352"/>
      <c r="C151" s="262"/>
      <c r="D151" s="249">
        <v>6060</v>
      </c>
      <c r="E151" s="279" t="s">
        <v>189</v>
      </c>
      <c r="F151" s="305">
        <f>20000-5500</f>
        <v>14500</v>
      </c>
      <c r="G151" s="306">
        <v>0</v>
      </c>
      <c r="J151" s="367"/>
      <c r="K151" s="368"/>
      <c r="L151" s="368"/>
      <c r="M151" s="368"/>
      <c r="N151" s="368"/>
      <c r="O151" s="368"/>
    </row>
    <row r="152" spans="1:15" s="366" customFormat="1" ht="26.25" customHeight="1">
      <c r="A152" s="233"/>
      <c r="B152" s="234">
        <v>754</v>
      </c>
      <c r="C152" s="234"/>
      <c r="D152" s="270"/>
      <c r="E152" s="296" t="s">
        <v>110</v>
      </c>
      <c r="F152" s="258">
        <f>F153+F155</f>
        <v>592972</v>
      </c>
      <c r="G152" s="259">
        <f>G153+G155</f>
        <v>0</v>
      </c>
      <c r="J152" s="368"/>
      <c r="K152" s="368"/>
      <c r="L152" s="368"/>
      <c r="M152" s="368"/>
      <c r="N152" s="368"/>
      <c r="O152" s="368"/>
    </row>
    <row r="153" spans="1:15" s="366" customFormat="1" ht="21.75" customHeight="1">
      <c r="A153" s="233"/>
      <c r="B153" s="262"/>
      <c r="C153" s="375">
        <v>75405</v>
      </c>
      <c r="D153" s="376"/>
      <c r="E153" s="295" t="s">
        <v>190</v>
      </c>
      <c r="F153" s="264">
        <f>F154</f>
        <v>63000</v>
      </c>
      <c r="G153" s="265">
        <f>G154</f>
        <v>0</v>
      </c>
      <c r="J153" s="368"/>
      <c r="K153" s="368"/>
      <c r="L153" s="368"/>
      <c r="M153" s="368"/>
      <c r="N153" s="368"/>
      <c r="O153" s="368"/>
    </row>
    <row r="154" spans="1:15" s="366" customFormat="1" ht="33.75" customHeight="1">
      <c r="A154" s="233">
        <v>88</v>
      </c>
      <c r="B154" s="303"/>
      <c r="C154" s="234"/>
      <c r="D154" s="376">
        <v>6170</v>
      </c>
      <c r="E154" s="295" t="s">
        <v>191</v>
      </c>
      <c r="F154" s="264">
        <v>63000</v>
      </c>
      <c r="G154" s="265"/>
      <c r="J154" s="368"/>
      <c r="K154" s="368"/>
      <c r="L154" s="368"/>
      <c r="M154" s="368"/>
      <c r="N154" s="368"/>
      <c r="O154" s="368"/>
    </row>
    <row r="155" spans="1:15" s="366" customFormat="1" ht="27" customHeight="1">
      <c r="A155" s="233"/>
      <c r="B155" s="266"/>
      <c r="C155" s="267">
        <v>75411</v>
      </c>
      <c r="D155" s="330"/>
      <c r="E155" s="275" t="s">
        <v>192</v>
      </c>
      <c r="F155" s="245">
        <f>SUM(F156:F157)</f>
        <v>529972</v>
      </c>
      <c r="G155" s="246">
        <f>SUM(G156:G157)</f>
        <v>0</v>
      </c>
      <c r="J155" s="368"/>
      <c r="K155" s="368"/>
      <c r="L155" s="368"/>
      <c r="M155" s="368"/>
      <c r="N155" s="368"/>
      <c r="O155" s="368"/>
    </row>
    <row r="156" spans="1:15" s="366" customFormat="1" ht="71.25" customHeight="1">
      <c r="A156" s="233">
        <v>89</v>
      </c>
      <c r="B156" s="262"/>
      <c r="C156" s="263"/>
      <c r="D156" s="300">
        <v>6050</v>
      </c>
      <c r="E156" s="250" t="s">
        <v>193</v>
      </c>
      <c r="F156" s="264">
        <f>480000-28</f>
        <v>479972</v>
      </c>
      <c r="G156" s="265">
        <v>0</v>
      </c>
      <c r="J156" s="368"/>
      <c r="K156" s="368"/>
      <c r="L156" s="368"/>
      <c r="M156" s="368"/>
      <c r="N156" s="368"/>
      <c r="O156" s="368"/>
    </row>
    <row r="157" spans="1:15" s="366" customFormat="1" ht="54.75" customHeight="1">
      <c r="A157" s="248">
        <v>90</v>
      </c>
      <c r="B157" s="262"/>
      <c r="C157" s="263"/>
      <c r="D157" s="300">
        <v>6060</v>
      </c>
      <c r="E157" s="250" t="s">
        <v>300</v>
      </c>
      <c r="F157" s="264">
        <v>50000</v>
      </c>
      <c r="G157" s="265"/>
      <c r="J157" s="368"/>
      <c r="K157" s="368"/>
      <c r="L157" s="368"/>
      <c r="M157" s="368"/>
      <c r="N157" s="368"/>
      <c r="O157" s="368"/>
    </row>
    <row r="158" spans="1:15" s="366" customFormat="1" ht="27" customHeight="1">
      <c r="A158" s="248"/>
      <c r="B158" s="234">
        <v>758</v>
      </c>
      <c r="C158" s="234"/>
      <c r="D158" s="235"/>
      <c r="E158" s="257" t="s">
        <v>115</v>
      </c>
      <c r="F158" s="258">
        <f>F159</f>
        <v>41484.5</v>
      </c>
      <c r="G158" s="259">
        <f>G159</f>
        <v>0</v>
      </c>
      <c r="J158" s="368"/>
      <c r="K158" s="368"/>
      <c r="L158" s="368"/>
      <c r="M158" s="368"/>
      <c r="N158" s="368"/>
      <c r="O158" s="368"/>
    </row>
    <row r="159" spans="1:15" s="366" customFormat="1" ht="27.75" customHeight="1">
      <c r="A159" s="248"/>
      <c r="B159" s="348"/>
      <c r="C159" s="377">
        <v>75818</v>
      </c>
      <c r="D159" s="268"/>
      <c r="E159" s="275" t="s">
        <v>116</v>
      </c>
      <c r="F159" s="276">
        <f>F160</f>
        <v>41484.5</v>
      </c>
      <c r="G159" s="277">
        <f>G160</f>
        <v>0</v>
      </c>
      <c r="J159" s="368"/>
      <c r="K159" s="368"/>
      <c r="L159" s="368"/>
      <c r="M159" s="368"/>
      <c r="N159" s="368"/>
      <c r="O159" s="368"/>
    </row>
    <row r="160" spans="1:15" s="366" customFormat="1" ht="26.25" customHeight="1">
      <c r="A160" s="248"/>
      <c r="B160" s="303"/>
      <c r="C160" s="263"/>
      <c r="D160" s="291">
        <v>6800</v>
      </c>
      <c r="E160" s="295" t="s">
        <v>16</v>
      </c>
      <c r="F160" s="251">
        <f>800000-20000-130000-182809.38-130000+3799-100765.56-84000+100000-27000-123215.08-4000+0.52-7515-10-13000-20000-20000</f>
        <v>41484.5</v>
      </c>
      <c r="G160" s="252">
        <f>500000-500000</f>
        <v>0</v>
      </c>
      <c r="J160" s="368"/>
      <c r="K160" s="368"/>
      <c r="L160" s="368"/>
      <c r="M160" s="368"/>
      <c r="N160" s="368"/>
      <c r="O160" s="368"/>
    </row>
    <row r="161" spans="1:15" s="366" customFormat="1" ht="23.25" customHeight="1">
      <c r="A161" s="248"/>
      <c r="B161" s="292">
        <v>801</v>
      </c>
      <c r="C161" s="234"/>
      <c r="D161" s="270"/>
      <c r="E161" s="281" t="s">
        <v>117</v>
      </c>
      <c r="F161" s="258">
        <f>SUM(F162+F166+F170)</f>
        <v>44870</v>
      </c>
      <c r="G161" s="259">
        <f>SUM(G162+G166+G170)</f>
        <v>0</v>
      </c>
      <c r="J161" s="368"/>
      <c r="K161" s="368"/>
      <c r="L161" s="368"/>
      <c r="M161" s="368"/>
      <c r="N161" s="368"/>
      <c r="O161" s="368"/>
    </row>
    <row r="162" spans="1:15" s="366" customFormat="1" ht="23.25" customHeight="1">
      <c r="A162" s="248"/>
      <c r="B162" s="260"/>
      <c r="C162" s="378">
        <v>80120</v>
      </c>
      <c r="D162" s="283"/>
      <c r="E162" s="284" t="s">
        <v>194</v>
      </c>
      <c r="F162" s="245">
        <f>SUM(F163:F165)</f>
        <v>14881</v>
      </c>
      <c r="G162" s="246">
        <f>SUM(G163:G165)</f>
        <v>0</v>
      </c>
      <c r="J162" s="368"/>
      <c r="K162" s="368"/>
      <c r="L162" s="368"/>
      <c r="M162" s="368"/>
      <c r="N162" s="368"/>
      <c r="O162" s="368"/>
    </row>
    <row r="163" spans="1:15" s="366" customFormat="1" ht="21.75" customHeight="1">
      <c r="A163" s="233">
        <v>91</v>
      </c>
      <c r="B163" s="278"/>
      <c r="C163" s="260"/>
      <c r="D163" s="342">
        <v>6060</v>
      </c>
      <c r="E163" s="287" t="s">
        <v>195</v>
      </c>
      <c r="F163" s="264">
        <f>5000-1283</f>
        <v>3717</v>
      </c>
      <c r="G163" s="265">
        <v>0</v>
      </c>
      <c r="J163" s="368"/>
      <c r="K163" s="368"/>
      <c r="L163" s="368"/>
      <c r="M163" s="368"/>
      <c r="N163" s="368"/>
      <c r="O163" s="368"/>
    </row>
    <row r="164" spans="1:15" s="366" customFormat="1" ht="23.25" customHeight="1">
      <c r="A164" s="233">
        <v>92</v>
      </c>
      <c r="B164" s="278"/>
      <c r="C164" s="266"/>
      <c r="D164" s="342">
        <v>6060</v>
      </c>
      <c r="E164" s="287" t="s">
        <v>196</v>
      </c>
      <c r="F164" s="264">
        <f>8000-2</f>
        <v>7998</v>
      </c>
      <c r="G164" s="265">
        <v>0</v>
      </c>
      <c r="J164" s="368"/>
      <c r="K164" s="368"/>
      <c r="L164" s="368"/>
      <c r="M164" s="368"/>
      <c r="N164" s="368"/>
      <c r="O164" s="368"/>
    </row>
    <row r="165" spans="1:15" s="366" customFormat="1" ht="32.25" customHeight="1">
      <c r="A165" s="233">
        <v>93</v>
      </c>
      <c r="B165" s="316"/>
      <c r="C165" s="294"/>
      <c r="D165" s="342">
        <v>6060</v>
      </c>
      <c r="E165" s="287" t="s">
        <v>197</v>
      </c>
      <c r="F165" s="264">
        <v>3166</v>
      </c>
      <c r="G165" s="265">
        <v>0</v>
      </c>
      <c r="J165" s="368"/>
      <c r="K165" s="368"/>
      <c r="L165" s="368"/>
      <c r="M165" s="368"/>
      <c r="N165" s="368"/>
      <c r="O165" s="368"/>
    </row>
    <row r="166" spans="1:15" s="366" customFormat="1" ht="23.25" customHeight="1">
      <c r="A166" s="233"/>
      <c r="B166" s="263"/>
      <c r="C166" s="241">
        <v>80130</v>
      </c>
      <c r="D166" s="283"/>
      <c r="E166" s="284" t="s">
        <v>198</v>
      </c>
      <c r="F166" s="245">
        <f>SUM(F167:F169)</f>
        <v>24011</v>
      </c>
      <c r="G166" s="246">
        <f>SUM(G169:G169)</f>
        <v>0</v>
      </c>
      <c r="J166" s="368"/>
      <c r="K166" s="368"/>
      <c r="L166" s="368"/>
      <c r="M166" s="368"/>
      <c r="N166" s="368"/>
      <c r="O166" s="368"/>
    </row>
    <row r="167" spans="1:15" s="366" customFormat="1" ht="21" customHeight="1">
      <c r="A167" s="233">
        <v>94</v>
      </c>
      <c r="B167" s="316"/>
      <c r="C167" s="260"/>
      <c r="D167" s="342">
        <v>6060</v>
      </c>
      <c r="E167" s="287" t="s">
        <v>199</v>
      </c>
      <c r="F167" s="264">
        <v>5000</v>
      </c>
      <c r="G167" s="265">
        <v>0</v>
      </c>
      <c r="J167" s="368"/>
      <c r="K167" s="368"/>
      <c r="L167" s="368"/>
      <c r="M167" s="368"/>
      <c r="N167" s="368"/>
      <c r="O167" s="368"/>
    </row>
    <row r="168" spans="1:15" s="366" customFormat="1" ht="22.5" customHeight="1">
      <c r="A168" s="233">
        <v>95</v>
      </c>
      <c r="B168" s="316"/>
      <c r="C168" s="266"/>
      <c r="D168" s="342">
        <v>6060</v>
      </c>
      <c r="E168" s="287" t="s">
        <v>200</v>
      </c>
      <c r="F168" s="264">
        <v>10000</v>
      </c>
      <c r="G168" s="265">
        <v>0</v>
      </c>
      <c r="J168" s="368"/>
      <c r="K168" s="368"/>
      <c r="L168" s="368"/>
      <c r="M168" s="368"/>
      <c r="N168" s="368"/>
      <c r="O168" s="368"/>
    </row>
    <row r="169" spans="1:15" s="366" customFormat="1" ht="30" customHeight="1">
      <c r="A169" s="233"/>
      <c r="B169" s="316"/>
      <c r="C169" s="242"/>
      <c r="D169" s="342">
        <v>6060</v>
      </c>
      <c r="E169" s="287" t="s">
        <v>197</v>
      </c>
      <c r="F169" s="264">
        <v>9011</v>
      </c>
      <c r="G169" s="265">
        <v>0</v>
      </c>
      <c r="J169" s="368"/>
      <c r="K169" s="368"/>
      <c r="L169" s="368"/>
      <c r="M169" s="368"/>
      <c r="N169" s="368"/>
      <c r="O169" s="368"/>
    </row>
    <row r="170" spans="1:15" s="366" customFormat="1" ht="25.5" customHeight="1">
      <c r="A170" s="248"/>
      <c r="B170" s="263"/>
      <c r="C170" s="242">
        <v>80148</v>
      </c>
      <c r="D170" s="243"/>
      <c r="E170" s="244" t="s">
        <v>134</v>
      </c>
      <c r="F170" s="245">
        <f>F171</f>
        <v>5978</v>
      </c>
      <c r="G170" s="246">
        <f>SUM(G171:G173)</f>
        <v>0</v>
      </c>
      <c r="J170" s="368"/>
      <c r="K170" s="368"/>
      <c r="L170" s="368"/>
      <c r="M170" s="368"/>
      <c r="N170" s="368"/>
      <c r="O170" s="368"/>
    </row>
    <row r="171" spans="1:15" s="366" customFormat="1" ht="25.5" customHeight="1">
      <c r="A171" s="233">
        <v>96</v>
      </c>
      <c r="B171" s="263"/>
      <c r="C171" s="266"/>
      <c r="D171" s="233">
        <v>6060</v>
      </c>
      <c r="E171" s="269" t="s">
        <v>201</v>
      </c>
      <c r="F171" s="264">
        <f>6000-22</f>
        <v>5978</v>
      </c>
      <c r="G171" s="265">
        <v>0</v>
      </c>
      <c r="J171" s="368"/>
      <c r="K171" s="368"/>
      <c r="L171" s="368"/>
      <c r="M171" s="368"/>
      <c r="N171" s="368"/>
      <c r="O171" s="368"/>
    </row>
    <row r="172" spans="1:15" s="366" customFormat="1" ht="22.5" customHeight="1">
      <c r="A172" s="248"/>
      <c r="B172" s="234">
        <v>852</v>
      </c>
      <c r="C172" s="234"/>
      <c r="D172" s="270"/>
      <c r="E172" s="271" t="s">
        <v>202</v>
      </c>
      <c r="F172" s="324">
        <f>F173</f>
        <v>15000</v>
      </c>
      <c r="G172" s="361">
        <f>G173</f>
        <v>0</v>
      </c>
      <c r="J172" s="368"/>
      <c r="K172" s="368"/>
      <c r="L172" s="368"/>
      <c r="M172" s="368"/>
      <c r="N172" s="368"/>
      <c r="O172" s="368"/>
    </row>
    <row r="173" spans="1:15" s="366" customFormat="1" ht="25.5" customHeight="1">
      <c r="A173" s="248"/>
      <c r="B173" s="260"/>
      <c r="C173" s="379">
        <v>85202</v>
      </c>
      <c r="D173" s="283"/>
      <c r="E173" s="380" t="s">
        <v>203</v>
      </c>
      <c r="F173" s="332">
        <f>F174</f>
        <v>15000</v>
      </c>
      <c r="G173" s="333">
        <f>G174</f>
        <v>0</v>
      </c>
      <c r="J173" s="368"/>
      <c r="K173" s="368"/>
      <c r="L173" s="368"/>
      <c r="M173" s="368"/>
      <c r="N173" s="368"/>
      <c r="O173" s="368"/>
    </row>
    <row r="174" spans="1:15" s="366" customFormat="1" ht="22.5" customHeight="1">
      <c r="A174" s="207">
        <v>97</v>
      </c>
      <c r="B174" s="262"/>
      <c r="C174" s="607"/>
      <c r="D174" s="233">
        <v>6060</v>
      </c>
      <c r="E174" s="269" t="s">
        <v>204</v>
      </c>
      <c r="F174" s="305">
        <v>15000</v>
      </c>
      <c r="G174" s="306">
        <v>0</v>
      </c>
      <c r="J174" s="368"/>
      <c r="K174" s="368"/>
      <c r="L174" s="368"/>
      <c r="M174" s="368"/>
      <c r="N174" s="368"/>
      <c r="O174" s="368"/>
    </row>
    <row r="175" spans="1:15" s="366" customFormat="1" ht="22.5" customHeight="1">
      <c r="A175" s="270"/>
      <c r="B175" s="292">
        <v>853</v>
      </c>
      <c r="C175" s="294"/>
      <c r="D175" s="301"/>
      <c r="E175" s="257" t="s">
        <v>138</v>
      </c>
      <c r="F175" s="339">
        <f>F176</f>
        <v>17000</v>
      </c>
      <c r="G175" s="609"/>
      <c r="J175" s="368"/>
      <c r="K175" s="368"/>
      <c r="L175" s="368"/>
      <c r="M175" s="368"/>
      <c r="N175" s="368"/>
      <c r="O175" s="368"/>
    </row>
    <row r="176" spans="1:15" s="366" customFormat="1" ht="31.5" customHeight="1">
      <c r="A176" s="248"/>
      <c r="B176" s="262"/>
      <c r="C176" s="608">
        <v>85311</v>
      </c>
      <c r="D176" s="233"/>
      <c r="E176" s="269" t="s">
        <v>395</v>
      </c>
      <c r="F176" s="305">
        <f>F177</f>
        <v>17000</v>
      </c>
      <c r="G176" s="306"/>
      <c r="J176" s="368"/>
      <c r="K176" s="368"/>
      <c r="L176" s="368"/>
      <c r="M176" s="368"/>
      <c r="N176" s="368"/>
      <c r="O176" s="368"/>
    </row>
    <row r="177" spans="1:15" s="366" customFormat="1" ht="28.5" customHeight="1">
      <c r="A177" s="248"/>
      <c r="B177" s="262"/>
      <c r="C177" s="381"/>
      <c r="D177" s="233">
        <v>6060</v>
      </c>
      <c r="E177" s="269" t="s">
        <v>402</v>
      </c>
      <c r="F177" s="305">
        <v>17000</v>
      </c>
      <c r="G177" s="306"/>
      <c r="J177" s="368"/>
      <c r="K177" s="368"/>
      <c r="L177" s="368"/>
      <c r="M177" s="368"/>
      <c r="N177" s="368"/>
      <c r="O177" s="368"/>
    </row>
    <row r="178" spans="1:15" s="366" customFormat="1" ht="24" customHeight="1">
      <c r="A178" s="248"/>
      <c r="B178" s="234">
        <v>854</v>
      </c>
      <c r="C178" s="234"/>
      <c r="D178" s="270"/>
      <c r="E178" s="271" t="s">
        <v>205</v>
      </c>
      <c r="F178" s="324">
        <f>F179+F182</f>
        <v>27000</v>
      </c>
      <c r="G178" s="361">
        <f>G179</f>
        <v>0</v>
      </c>
      <c r="J178" s="368"/>
      <c r="K178" s="368"/>
      <c r="L178" s="368"/>
      <c r="M178" s="368"/>
      <c r="N178" s="368"/>
      <c r="O178" s="368"/>
    </row>
    <row r="179" spans="1:15" s="366" customFormat="1" ht="24" customHeight="1">
      <c r="A179" s="291"/>
      <c r="B179" s="286"/>
      <c r="C179" s="378">
        <v>85403</v>
      </c>
      <c r="D179" s="243"/>
      <c r="E179" s="244" t="s">
        <v>206</v>
      </c>
      <c r="F179" s="245">
        <f>SUM(F180:F181)</f>
        <v>13000</v>
      </c>
      <c r="G179" s="246">
        <f>G181</f>
        <v>0</v>
      </c>
      <c r="J179" s="368"/>
      <c r="K179" s="368"/>
      <c r="L179" s="368"/>
      <c r="M179" s="368"/>
      <c r="N179" s="368"/>
      <c r="O179" s="368"/>
    </row>
    <row r="180" spans="1:15" s="372" customFormat="1" ht="24" customHeight="1">
      <c r="A180" s="291">
        <v>98</v>
      </c>
      <c r="B180" s="352"/>
      <c r="C180" s="286"/>
      <c r="D180" s="249">
        <v>6060</v>
      </c>
      <c r="E180" s="250" t="s">
        <v>281</v>
      </c>
      <c r="F180" s="264">
        <v>8000</v>
      </c>
      <c r="G180" s="265"/>
      <c r="J180" s="374"/>
      <c r="K180" s="374"/>
      <c r="L180" s="374"/>
      <c r="M180" s="374"/>
      <c r="N180" s="374"/>
      <c r="O180" s="374"/>
    </row>
    <row r="181" spans="1:15" s="366" customFormat="1" ht="24" customHeight="1">
      <c r="A181" s="233">
        <v>99</v>
      </c>
      <c r="B181" s="352"/>
      <c r="C181" s="294"/>
      <c r="D181" s="342">
        <v>6060</v>
      </c>
      <c r="E181" s="269" t="s">
        <v>207</v>
      </c>
      <c r="F181" s="265">
        <v>5000</v>
      </c>
      <c r="G181" s="265">
        <v>0</v>
      </c>
      <c r="J181" s="368"/>
      <c r="K181" s="368"/>
      <c r="L181" s="368"/>
      <c r="M181" s="368"/>
      <c r="N181" s="368"/>
      <c r="O181" s="368"/>
    </row>
    <row r="182" spans="1:15" s="366" customFormat="1" ht="28.5" customHeight="1">
      <c r="A182" s="391"/>
      <c r="B182" s="262"/>
      <c r="C182" s="294">
        <v>85406</v>
      </c>
      <c r="D182" s="233"/>
      <c r="E182" s="269" t="s">
        <v>209</v>
      </c>
      <c r="F182" s="265">
        <f>F183</f>
        <v>14000</v>
      </c>
      <c r="G182" s="265"/>
      <c r="J182" s="368"/>
      <c r="K182" s="368"/>
      <c r="L182" s="368"/>
      <c r="M182" s="368"/>
      <c r="N182" s="368"/>
      <c r="O182" s="368"/>
    </row>
    <row r="183" spans="1:15" s="366" customFormat="1" ht="24" customHeight="1">
      <c r="A183" s="233">
        <v>100</v>
      </c>
      <c r="B183" s="294"/>
      <c r="C183" s="375"/>
      <c r="D183" s="233">
        <v>6060</v>
      </c>
      <c r="E183" s="269" t="s">
        <v>216</v>
      </c>
      <c r="F183" s="265">
        <v>14000</v>
      </c>
      <c r="G183" s="265"/>
      <c r="J183" s="368"/>
      <c r="K183" s="368"/>
      <c r="L183" s="368"/>
      <c r="M183" s="368"/>
      <c r="N183" s="368"/>
      <c r="O183" s="368"/>
    </row>
    <row r="184" spans="1:10" ht="28.5" customHeight="1">
      <c r="A184" s="235"/>
      <c r="B184" s="382" t="s">
        <v>14</v>
      </c>
      <c r="C184" s="383"/>
      <c r="D184" s="384"/>
      <c r="E184" s="385"/>
      <c r="F184" s="386">
        <f>F13+F132</f>
        <v>49156653.92</v>
      </c>
      <c r="G184" s="238">
        <f>G13+G132</f>
        <v>8363056.74</v>
      </c>
      <c r="I184" s="231"/>
      <c r="J184" s="232"/>
    </row>
    <row r="185" spans="1:10" ht="21.75" customHeight="1">
      <c r="A185" s="192"/>
      <c r="B185" s="387"/>
      <c r="C185" s="387"/>
      <c r="D185" s="192"/>
      <c r="F185" s="353"/>
      <c r="G185" s="353"/>
      <c r="I185" s="239"/>
      <c r="J185" s="240"/>
    </row>
    <row r="186" spans="1:10" ht="15" customHeight="1">
      <c r="A186" s="192"/>
      <c r="B186" s="179"/>
      <c r="C186" s="179"/>
      <c r="D186" s="192"/>
      <c r="F186" s="388"/>
      <c r="G186" s="388"/>
      <c r="I186" s="321"/>
      <c r="J186" s="389"/>
    </row>
    <row r="187" spans="1:10" ht="12.75">
      <c r="A187" s="192"/>
      <c r="B187" s="179"/>
      <c r="C187" s="179"/>
      <c r="D187" s="192"/>
      <c r="F187" s="388"/>
      <c r="G187" s="388"/>
      <c r="H187" s="321"/>
      <c r="I187" s="321"/>
      <c r="J187" s="319"/>
    </row>
    <row r="188" spans="6:10" ht="12.75">
      <c r="F188" s="388"/>
      <c r="G188" s="388"/>
      <c r="I188" s="321"/>
      <c r="J188" s="319"/>
    </row>
    <row r="189" spans="6:10" ht="12.75">
      <c r="F189" s="388"/>
      <c r="G189" s="388"/>
      <c r="I189" s="321"/>
      <c r="J189" s="319"/>
    </row>
    <row r="190" spans="6:10" ht="12.75">
      <c r="F190" s="388"/>
      <c r="G190" s="388"/>
      <c r="I190" s="321"/>
      <c r="J190" s="319"/>
    </row>
    <row r="191" spans="6:10" ht="12.75">
      <c r="F191" s="388"/>
      <c r="G191" s="388"/>
      <c r="I191" s="321"/>
      <c r="J191" s="319"/>
    </row>
    <row r="192" spans="6:10" ht="12.75">
      <c r="F192" s="388"/>
      <c r="G192" s="388"/>
      <c r="I192" s="321"/>
      <c r="J192" s="319"/>
    </row>
    <row r="193" spans="6:7" ht="12.75">
      <c r="F193" s="388"/>
      <c r="G193" s="388"/>
    </row>
    <row r="194" spans="6:7" ht="12.75">
      <c r="F194" s="388"/>
      <c r="G194" s="388"/>
    </row>
    <row r="195" spans="6:7" ht="12.75">
      <c r="F195" s="390"/>
      <c r="G195" s="388"/>
    </row>
    <row r="196" spans="6:7" ht="12.75">
      <c r="F196" s="388"/>
      <c r="G196" s="388"/>
    </row>
    <row r="197" spans="6:7" ht="12.75">
      <c r="F197" s="388"/>
      <c r="G197" s="388"/>
    </row>
    <row r="198" spans="6:7" ht="12.75">
      <c r="F198" s="388"/>
      <c r="G198" s="388"/>
    </row>
    <row r="199" ht="12.75">
      <c r="F199" s="388"/>
    </row>
    <row r="200" ht="12.75">
      <c r="F200" s="388"/>
    </row>
    <row r="201" ht="12.75">
      <c r="F201" s="388"/>
    </row>
    <row r="202" spans="6:7" ht="12.75">
      <c r="F202" s="388"/>
      <c r="G202" s="388"/>
    </row>
    <row r="203" ht="12.75">
      <c r="F203" s="388"/>
    </row>
    <row r="204" ht="12.75">
      <c r="F204" s="388"/>
    </row>
    <row r="205" ht="12.75">
      <c r="F205" s="388"/>
    </row>
  </sheetData>
  <sheetProtection/>
  <mergeCells count="4">
    <mergeCell ref="A81:A82"/>
    <mergeCell ref="E81:E82"/>
    <mergeCell ref="A117:A119"/>
    <mergeCell ref="E117:E119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58"/>
  <sheetViews>
    <sheetView zoomScalePageLayoutView="0" workbookViewId="0" topLeftCell="A7">
      <selection activeCell="I16" sqref="I16"/>
    </sheetView>
  </sheetViews>
  <sheetFormatPr defaultColWidth="9.140625" defaultRowHeight="12.75"/>
  <cols>
    <col min="1" max="1" width="5.7109375" style="2" customWidth="1"/>
    <col min="2" max="2" width="38.57421875" style="2" customWidth="1"/>
    <col min="3" max="3" width="18.00390625" style="2" customWidth="1"/>
    <col min="4" max="4" width="8.8515625" style="2" customWidth="1"/>
    <col min="5" max="5" width="13.57421875" style="2" customWidth="1"/>
    <col min="6" max="6" width="15.140625" style="2" customWidth="1"/>
    <col min="7" max="7" width="13.57421875" style="506" customWidth="1"/>
    <col min="8" max="8" width="18.140625" style="506" customWidth="1"/>
    <col min="9" max="9" width="23.00390625" style="506" customWidth="1"/>
    <col min="10" max="10" width="33.140625" style="157" customWidth="1"/>
    <col min="11" max="11" width="18.140625" style="67" customWidth="1"/>
    <col min="12" max="12" width="15.7109375" style="67" customWidth="1"/>
    <col min="13" max="13" width="10.140625" style="67" bestFit="1" customWidth="1"/>
    <col min="14" max="14" width="9.140625" style="67" customWidth="1"/>
    <col min="15" max="16384" width="9.140625" style="2" customWidth="1"/>
  </cols>
  <sheetData>
    <row r="1" spans="3:4" ht="20.25">
      <c r="C1" s="193" t="s">
        <v>217</v>
      </c>
      <c r="D1" s="505"/>
    </row>
    <row r="2" spans="3:4" ht="18.75">
      <c r="C2" s="194" t="s">
        <v>398</v>
      </c>
      <c r="D2" s="505"/>
    </row>
    <row r="3" spans="3:4" ht="18.75">
      <c r="C3" s="194" t="s">
        <v>50</v>
      </c>
      <c r="D3" s="505"/>
    </row>
    <row r="4" spans="3:4" ht="18.75">
      <c r="C4" s="195" t="s">
        <v>443</v>
      </c>
      <c r="D4" s="505"/>
    </row>
    <row r="5" spans="3:4" ht="18.75">
      <c r="C5" s="505"/>
      <c r="D5" s="505"/>
    </row>
    <row r="6" spans="1:13" ht="18.75">
      <c r="A6" s="505"/>
      <c r="B6" s="505"/>
      <c r="C6" s="505"/>
      <c r="D6" s="505"/>
      <c r="E6" s="505"/>
      <c r="F6" s="505"/>
      <c r="G6" s="507"/>
      <c r="H6" s="507"/>
      <c r="I6" s="507"/>
      <c r="J6" s="508"/>
      <c r="K6" s="509"/>
      <c r="L6" s="509"/>
      <c r="M6" s="509"/>
    </row>
    <row r="7" spans="1:13" ht="20.25">
      <c r="A7" s="505"/>
      <c r="B7" s="510" t="s">
        <v>310</v>
      </c>
      <c r="C7" s="505"/>
      <c r="D7" s="505"/>
      <c r="E7" s="505"/>
      <c r="F7" s="505"/>
      <c r="G7" s="507"/>
      <c r="H7" s="507"/>
      <c r="I7" s="507"/>
      <c r="J7" s="508"/>
      <c r="K7" s="509"/>
      <c r="L7" s="509"/>
      <c r="M7" s="509"/>
    </row>
    <row r="8" spans="1:13" ht="20.25">
      <c r="A8" s="511"/>
      <c r="B8" s="510" t="s">
        <v>311</v>
      </c>
      <c r="C8" s="5"/>
      <c r="D8" s="6"/>
      <c r="E8" s="5"/>
      <c r="F8" s="5"/>
      <c r="G8" s="512"/>
      <c r="H8" s="512"/>
      <c r="I8" s="512"/>
      <c r="J8" s="513"/>
      <c r="K8" s="7"/>
      <c r="L8" s="509"/>
      <c r="M8" s="509"/>
    </row>
    <row r="9" spans="1:13" ht="20.25">
      <c r="A9" s="511"/>
      <c r="B9" s="510" t="s">
        <v>312</v>
      </c>
      <c r="C9" s="5"/>
      <c r="D9" s="6"/>
      <c r="E9" s="5"/>
      <c r="F9" s="5"/>
      <c r="G9" s="512"/>
      <c r="H9" s="512"/>
      <c r="I9" s="512"/>
      <c r="J9" s="513"/>
      <c r="K9" s="7"/>
      <c r="L9" s="509"/>
      <c r="M9" s="509"/>
    </row>
    <row r="10" spans="1:13" ht="20.25">
      <c r="A10" s="511"/>
      <c r="B10" s="510"/>
      <c r="C10" s="5"/>
      <c r="D10" s="6"/>
      <c r="E10" s="5"/>
      <c r="F10" s="5"/>
      <c r="G10" s="512"/>
      <c r="H10" s="512"/>
      <c r="I10" s="512"/>
      <c r="J10" s="513"/>
      <c r="K10" s="7"/>
      <c r="L10" s="509"/>
      <c r="M10" s="509"/>
    </row>
    <row r="11" spans="1:13" ht="18.75">
      <c r="A11" s="511"/>
      <c r="B11" s="23"/>
      <c r="C11" s="23"/>
      <c r="D11" s="514"/>
      <c r="E11" s="5"/>
      <c r="F11" s="5"/>
      <c r="G11" s="512"/>
      <c r="H11" s="512"/>
      <c r="I11" s="512"/>
      <c r="J11" s="513"/>
      <c r="K11" s="7"/>
      <c r="L11" s="509"/>
      <c r="M11" s="509"/>
    </row>
    <row r="12" spans="1:13" ht="18.75">
      <c r="A12" s="511"/>
      <c r="B12" s="5"/>
      <c r="C12" s="5"/>
      <c r="D12" s="6"/>
      <c r="E12" s="5"/>
      <c r="F12" s="515" t="s">
        <v>87</v>
      </c>
      <c r="G12" s="512"/>
      <c r="H12" s="512"/>
      <c r="I12" s="512"/>
      <c r="J12" s="513"/>
      <c r="K12" s="7"/>
      <c r="L12" s="509"/>
      <c r="M12" s="509"/>
    </row>
    <row r="13" spans="1:13" ht="29.25" customHeight="1">
      <c r="A13" s="516"/>
      <c r="B13" s="517"/>
      <c r="C13" s="517"/>
      <c r="D13" s="518"/>
      <c r="E13" s="519" t="s">
        <v>313</v>
      </c>
      <c r="F13" s="520"/>
      <c r="G13" s="512"/>
      <c r="H13" s="512"/>
      <c r="I13" s="521"/>
      <c r="J13" s="513"/>
      <c r="K13" s="7"/>
      <c r="L13" s="509"/>
      <c r="M13" s="509"/>
    </row>
    <row r="14" spans="1:14" s="533" customFormat="1" ht="33" customHeight="1">
      <c r="A14" s="522" t="s">
        <v>314</v>
      </c>
      <c r="B14" s="523" t="s">
        <v>315</v>
      </c>
      <c r="C14" s="524" t="s">
        <v>316</v>
      </c>
      <c r="D14" s="524" t="s">
        <v>317</v>
      </c>
      <c r="E14" s="525" t="s">
        <v>318</v>
      </c>
      <c r="F14" s="526" t="s">
        <v>319</v>
      </c>
      <c r="G14" s="527"/>
      <c r="H14" s="528"/>
      <c r="I14" s="529"/>
      <c r="J14" s="530"/>
      <c r="K14" s="7"/>
      <c r="L14" s="531"/>
      <c r="M14" s="531"/>
      <c r="N14" s="532"/>
    </row>
    <row r="15" spans="1:14" s="533" customFormat="1" ht="35.25" customHeight="1">
      <c r="A15" s="534" t="s">
        <v>320</v>
      </c>
      <c r="B15" s="535"/>
      <c r="C15" s="536"/>
      <c r="D15" s="536"/>
      <c r="E15" s="537">
        <f>E18+E27+E30+E33+E36</f>
        <v>173306.34</v>
      </c>
      <c r="F15" s="537">
        <f>F18+F21+F24+F27+F30+F33+F36+F39+F42</f>
        <v>1293168.7599999998</v>
      </c>
      <c r="G15" s="527"/>
      <c r="H15" s="528"/>
      <c r="I15" s="528">
        <f>E15+F15</f>
        <v>1466475.0999999999</v>
      </c>
      <c r="J15" s="530"/>
      <c r="K15" s="7"/>
      <c r="L15" s="531"/>
      <c r="M15" s="531"/>
      <c r="N15" s="532"/>
    </row>
    <row r="16" spans="1:13" s="34" customFormat="1" ht="39" customHeight="1">
      <c r="A16" s="538">
        <v>1</v>
      </c>
      <c r="B16" s="539" t="s">
        <v>321</v>
      </c>
      <c r="C16" s="540" t="s">
        <v>322</v>
      </c>
      <c r="D16" s="541"/>
      <c r="E16" s="542"/>
      <c r="F16" s="543"/>
      <c r="G16" s="544"/>
      <c r="H16" s="528"/>
      <c r="I16" s="545"/>
      <c r="J16" s="530"/>
      <c r="K16" s="546"/>
      <c r="L16" s="547"/>
      <c r="M16" s="547"/>
    </row>
    <row r="17" spans="1:13" s="34" customFormat="1" ht="54.75" customHeight="1">
      <c r="A17" s="548"/>
      <c r="B17" s="549" t="s">
        <v>323</v>
      </c>
      <c r="C17" s="550"/>
      <c r="D17" s="551"/>
      <c r="E17" s="552"/>
      <c r="F17" s="553"/>
      <c r="G17" s="544"/>
      <c r="H17" s="528"/>
      <c r="I17" s="554"/>
      <c r="J17" s="530"/>
      <c r="K17" s="546"/>
      <c r="L17" s="547"/>
      <c r="M17" s="547"/>
    </row>
    <row r="18" spans="1:13" s="34" customFormat="1" ht="50.25" customHeight="1">
      <c r="A18" s="555"/>
      <c r="B18" s="549" t="s">
        <v>324</v>
      </c>
      <c r="C18" s="556"/>
      <c r="D18" s="557" t="s">
        <v>325</v>
      </c>
      <c r="E18" s="651">
        <f>34332.75+8830.39-11475.13</f>
        <v>31688.010000000002</v>
      </c>
      <c r="F18" s="652">
        <f>194552.25+50038.78-65025.63</f>
        <v>179565.4</v>
      </c>
      <c r="G18" s="544"/>
      <c r="H18" s="528"/>
      <c r="I18" s="528"/>
      <c r="J18" s="530"/>
      <c r="K18" s="546"/>
      <c r="L18" s="547"/>
      <c r="M18" s="547"/>
    </row>
    <row r="19" spans="1:13" s="34" customFormat="1" ht="56.25" customHeight="1">
      <c r="A19" s="538">
        <v>2</v>
      </c>
      <c r="B19" s="539" t="s">
        <v>321</v>
      </c>
      <c r="C19" s="560" t="s">
        <v>326</v>
      </c>
      <c r="D19" s="541"/>
      <c r="E19" s="543"/>
      <c r="F19" s="543"/>
      <c r="G19" s="544"/>
      <c r="H19" s="528"/>
      <c r="I19" s="561"/>
      <c r="J19" s="530"/>
      <c r="K19" s="546"/>
      <c r="L19" s="547"/>
      <c r="M19" s="547"/>
    </row>
    <row r="20" spans="1:13" s="34" customFormat="1" ht="60.75" customHeight="1">
      <c r="A20" s="548"/>
      <c r="B20" s="562" t="s">
        <v>327</v>
      </c>
      <c r="C20" s="550"/>
      <c r="D20" s="551"/>
      <c r="E20" s="553"/>
      <c r="F20" s="553"/>
      <c r="G20" s="544"/>
      <c r="H20" s="528"/>
      <c r="I20" s="561"/>
      <c r="J20" s="530"/>
      <c r="K20" s="546"/>
      <c r="L20" s="547"/>
      <c r="M20" s="547"/>
    </row>
    <row r="21" spans="1:13" s="34" customFormat="1" ht="38.25" customHeight="1">
      <c r="A21" s="555"/>
      <c r="B21" s="562" t="s">
        <v>328</v>
      </c>
      <c r="C21" s="556"/>
      <c r="D21" s="551" t="s">
        <v>329</v>
      </c>
      <c r="E21" s="553" t="s">
        <v>330</v>
      </c>
      <c r="F21" s="553">
        <f>70298+6802.51</f>
        <v>77100.51</v>
      </c>
      <c r="G21" s="544"/>
      <c r="H21" s="528"/>
      <c r="I21" s="561"/>
      <c r="J21" s="530"/>
      <c r="K21" s="546"/>
      <c r="L21" s="547"/>
      <c r="M21" s="547"/>
    </row>
    <row r="22" spans="1:13" s="34" customFormat="1" ht="38.25" customHeight="1">
      <c r="A22" s="538">
        <v>3</v>
      </c>
      <c r="B22" s="539" t="s">
        <v>321</v>
      </c>
      <c r="C22" s="560" t="s">
        <v>331</v>
      </c>
      <c r="D22" s="541"/>
      <c r="E22" s="542"/>
      <c r="F22" s="543"/>
      <c r="G22" s="544"/>
      <c r="H22" s="528"/>
      <c r="I22" s="561"/>
      <c r="J22" s="530"/>
      <c r="K22" s="546"/>
      <c r="L22" s="547"/>
      <c r="M22" s="547"/>
    </row>
    <row r="23" spans="1:13" s="34" customFormat="1" ht="91.5" customHeight="1">
      <c r="A23" s="548"/>
      <c r="B23" s="562" t="s">
        <v>332</v>
      </c>
      <c r="C23" s="550"/>
      <c r="D23" s="551"/>
      <c r="E23" s="552"/>
      <c r="F23" s="553"/>
      <c r="G23" s="544"/>
      <c r="H23" s="528"/>
      <c r="I23" s="561"/>
      <c r="J23" s="530"/>
      <c r="K23" s="546"/>
      <c r="L23" s="547"/>
      <c r="M23" s="547"/>
    </row>
    <row r="24" spans="1:13" s="34" customFormat="1" ht="42.75" customHeight="1">
      <c r="A24" s="555"/>
      <c r="B24" s="562" t="s">
        <v>333</v>
      </c>
      <c r="C24" s="556"/>
      <c r="D24" s="557" t="s">
        <v>334</v>
      </c>
      <c r="E24" s="559" t="s">
        <v>330</v>
      </c>
      <c r="F24" s="670">
        <f>114654+14565.63-16264.63</f>
        <v>112955</v>
      </c>
      <c r="G24" s="544"/>
      <c r="H24" s="528"/>
      <c r="I24" s="561"/>
      <c r="J24" s="530"/>
      <c r="K24" s="546"/>
      <c r="L24" s="547"/>
      <c r="M24" s="547"/>
    </row>
    <row r="25" spans="1:13" s="34" customFormat="1" ht="55.5" customHeight="1">
      <c r="A25" s="538">
        <v>4</v>
      </c>
      <c r="B25" s="563" t="s">
        <v>335</v>
      </c>
      <c r="C25" s="564" t="s">
        <v>336</v>
      </c>
      <c r="D25" s="541"/>
      <c r="E25" s="543"/>
      <c r="F25" s="543"/>
      <c r="G25" s="544"/>
      <c r="H25" s="528"/>
      <c r="I25" s="565"/>
      <c r="J25" s="530"/>
      <c r="K25" s="546"/>
      <c r="L25" s="547"/>
      <c r="M25" s="547"/>
    </row>
    <row r="26" spans="1:13" s="34" customFormat="1" ht="39.75" customHeight="1">
      <c r="A26" s="548"/>
      <c r="B26" s="562" t="s">
        <v>337</v>
      </c>
      <c r="C26" s="566"/>
      <c r="D26" s="551"/>
      <c r="E26" s="553"/>
      <c r="F26" s="553"/>
      <c r="G26" s="544"/>
      <c r="H26" s="528"/>
      <c r="I26" s="565"/>
      <c r="J26" s="530"/>
      <c r="K26" s="546"/>
      <c r="L26" s="547"/>
      <c r="M26" s="547"/>
    </row>
    <row r="27" spans="1:13" s="34" customFormat="1" ht="45.75" customHeight="1">
      <c r="A27" s="555"/>
      <c r="B27" s="562" t="s">
        <v>338</v>
      </c>
      <c r="C27" s="556"/>
      <c r="D27" s="551" t="s">
        <v>334</v>
      </c>
      <c r="E27" s="553">
        <v>0</v>
      </c>
      <c r="F27" s="553">
        <f>16935.6+14648.82</f>
        <v>31584.42</v>
      </c>
      <c r="G27" s="544"/>
      <c r="H27" s="528"/>
      <c r="I27" s="565"/>
      <c r="J27" s="530"/>
      <c r="K27" s="546"/>
      <c r="L27" s="547"/>
      <c r="M27" s="547"/>
    </row>
    <row r="28" spans="1:13" s="34" customFormat="1" ht="42" customHeight="1">
      <c r="A28" s="538">
        <v>5</v>
      </c>
      <c r="B28" s="539" t="s">
        <v>321</v>
      </c>
      <c r="C28" s="567" t="s">
        <v>322</v>
      </c>
      <c r="D28" s="541"/>
      <c r="E28" s="542"/>
      <c r="F28" s="543"/>
      <c r="G28" s="544"/>
      <c r="H28" s="528"/>
      <c r="I28" s="565"/>
      <c r="J28" s="530"/>
      <c r="K28" s="546"/>
      <c r="L28" s="547"/>
      <c r="M28" s="547"/>
    </row>
    <row r="29" spans="1:13" s="34" customFormat="1" ht="51" customHeight="1">
      <c r="A29" s="548"/>
      <c r="B29" s="549" t="s">
        <v>339</v>
      </c>
      <c r="C29" s="550"/>
      <c r="D29" s="551"/>
      <c r="E29" s="552"/>
      <c r="F29" s="553"/>
      <c r="G29" s="544"/>
      <c r="H29" s="528"/>
      <c r="I29" s="565"/>
      <c r="J29" s="530"/>
      <c r="K29" s="546"/>
      <c r="L29" s="547"/>
      <c r="M29" s="547"/>
    </row>
    <row r="30" spans="1:13" s="34" customFormat="1" ht="36" customHeight="1">
      <c r="A30" s="555"/>
      <c r="B30" s="549" t="s">
        <v>340</v>
      </c>
      <c r="C30" s="556"/>
      <c r="D30" s="557" t="s">
        <v>341</v>
      </c>
      <c r="E30" s="668">
        <f>129130.6+5626.21-3038.7</f>
        <v>131718.11</v>
      </c>
      <c r="F30" s="669">
        <f>731740.04+31881.91-17219.3</f>
        <v>746402.65</v>
      </c>
      <c r="G30" s="544"/>
      <c r="H30" s="528"/>
      <c r="I30" s="565"/>
      <c r="J30" s="530"/>
      <c r="K30" s="546"/>
      <c r="L30" s="547"/>
      <c r="M30" s="547"/>
    </row>
    <row r="31" spans="1:10" ht="39.75" customHeight="1">
      <c r="A31" s="538">
        <v>6</v>
      </c>
      <c r="B31" s="539" t="s">
        <v>342</v>
      </c>
      <c r="C31" s="567" t="s">
        <v>322</v>
      </c>
      <c r="D31" s="541"/>
      <c r="E31" s="542"/>
      <c r="F31" s="543"/>
      <c r="H31" s="528"/>
      <c r="J31" s="568"/>
    </row>
    <row r="32" spans="1:8" ht="38.25">
      <c r="A32" s="548"/>
      <c r="B32" s="549" t="s">
        <v>343</v>
      </c>
      <c r="C32" s="550"/>
      <c r="D32" s="551"/>
      <c r="E32" s="552"/>
      <c r="F32" s="553"/>
      <c r="H32" s="528"/>
    </row>
    <row r="33" spans="1:8" ht="45" customHeight="1">
      <c r="A33" s="548"/>
      <c r="B33" s="569" t="s">
        <v>344</v>
      </c>
      <c r="C33" s="566"/>
      <c r="D33" s="551"/>
      <c r="E33" s="558">
        <f>23985-18220.65</f>
        <v>5764.3499999999985</v>
      </c>
      <c r="F33" s="559">
        <f>135915-103250.35</f>
        <v>32664.649999999994</v>
      </c>
      <c r="H33" s="528"/>
    </row>
    <row r="34" spans="1:8" ht="39" customHeight="1">
      <c r="A34" s="538" t="s">
        <v>345</v>
      </c>
      <c r="B34" s="539" t="s">
        <v>346</v>
      </c>
      <c r="C34" s="560" t="s">
        <v>347</v>
      </c>
      <c r="D34" s="541"/>
      <c r="E34" s="543"/>
      <c r="F34" s="543"/>
      <c r="H34" s="528"/>
    </row>
    <row r="35" spans="1:8" ht="54.75" customHeight="1">
      <c r="A35" s="548"/>
      <c r="B35" s="562" t="s">
        <v>348</v>
      </c>
      <c r="C35" s="550"/>
      <c r="D35" s="551"/>
      <c r="E35" s="553"/>
      <c r="F35" s="553"/>
      <c r="H35" s="528"/>
    </row>
    <row r="36" spans="1:8" ht="38.25" customHeight="1">
      <c r="A36" s="555"/>
      <c r="B36" s="562" t="s">
        <v>349</v>
      </c>
      <c r="C36" s="556"/>
      <c r="D36" s="551" t="s">
        <v>350</v>
      </c>
      <c r="E36" s="553">
        <v>4135.87</v>
      </c>
      <c r="F36" s="553">
        <v>68296.13</v>
      </c>
      <c r="H36" s="528"/>
    </row>
    <row r="37" spans="1:8" ht="55.5" customHeight="1">
      <c r="A37" s="538" t="s">
        <v>373</v>
      </c>
      <c r="B37" s="539" t="s">
        <v>369</v>
      </c>
      <c r="C37" s="540" t="s">
        <v>372</v>
      </c>
      <c r="D37" s="576"/>
      <c r="E37" s="543"/>
      <c r="F37" s="578"/>
      <c r="H37" s="528"/>
    </row>
    <row r="38" spans="1:8" ht="69" customHeight="1">
      <c r="A38" s="548"/>
      <c r="B38" s="580" t="s">
        <v>370</v>
      </c>
      <c r="C38" s="583"/>
      <c r="D38" s="581"/>
      <c r="E38" s="553"/>
      <c r="F38" s="579"/>
      <c r="H38" s="528"/>
    </row>
    <row r="39" spans="1:8" ht="38.25" customHeight="1">
      <c r="A39" s="555"/>
      <c r="B39" s="580" t="s">
        <v>371</v>
      </c>
      <c r="C39" s="611"/>
      <c r="D39" s="612" t="s">
        <v>0</v>
      </c>
      <c r="E39" s="559"/>
      <c r="F39" s="613">
        <v>33000</v>
      </c>
      <c r="H39" s="528"/>
    </row>
    <row r="40" spans="1:8" ht="55.5" customHeight="1">
      <c r="A40" s="538" t="s">
        <v>400</v>
      </c>
      <c r="B40" s="539" t="s">
        <v>399</v>
      </c>
      <c r="C40" s="560" t="s">
        <v>347</v>
      </c>
      <c r="D40" s="576"/>
      <c r="E40" s="543"/>
      <c r="F40" s="578"/>
      <c r="H40" s="528"/>
    </row>
    <row r="41" spans="1:8" ht="59.25" customHeight="1">
      <c r="A41" s="548"/>
      <c r="B41" s="580" t="s">
        <v>405</v>
      </c>
      <c r="C41" s="583"/>
      <c r="D41" s="581"/>
      <c r="E41" s="553"/>
      <c r="F41" s="579"/>
      <c r="H41" s="528"/>
    </row>
    <row r="42" spans="1:8" ht="38.25" customHeight="1">
      <c r="A42" s="555"/>
      <c r="B42" s="580" t="s">
        <v>401</v>
      </c>
      <c r="C42" s="611"/>
      <c r="D42" s="612" t="s">
        <v>0</v>
      </c>
      <c r="E42" s="559"/>
      <c r="F42" s="613">
        <v>11600</v>
      </c>
      <c r="H42" s="528"/>
    </row>
    <row r="43" spans="1:14" s="34" customFormat="1" ht="27.75" customHeight="1">
      <c r="A43" s="570" t="s">
        <v>351</v>
      </c>
      <c r="B43" s="409"/>
      <c r="C43" s="582"/>
      <c r="D43" s="577"/>
      <c r="E43" s="477">
        <f>E46+E49+E52</f>
        <v>5977.11</v>
      </c>
      <c r="F43" s="477">
        <f>F46+F49+F52</f>
        <v>304469.95</v>
      </c>
      <c r="G43" s="334"/>
      <c r="H43" s="528"/>
      <c r="I43" s="571"/>
      <c r="J43" s="196"/>
      <c r="K43" s="397"/>
      <c r="L43" s="397"/>
      <c r="M43" s="397"/>
      <c r="N43" s="397"/>
    </row>
    <row r="44" spans="1:11" ht="56.25" customHeight="1">
      <c r="A44" s="538" t="s">
        <v>352</v>
      </c>
      <c r="B44" s="539" t="s">
        <v>346</v>
      </c>
      <c r="C44" s="560" t="s">
        <v>353</v>
      </c>
      <c r="D44" s="541"/>
      <c r="E44" s="543"/>
      <c r="F44" s="543"/>
      <c r="K44" s="572"/>
    </row>
    <row r="45" spans="1:6" ht="56.25" customHeight="1">
      <c r="A45" s="548"/>
      <c r="B45" s="562" t="s">
        <v>354</v>
      </c>
      <c r="C45" s="550"/>
      <c r="D45" s="551"/>
      <c r="E45" s="553"/>
      <c r="F45" s="553"/>
    </row>
    <row r="46" spans="1:6" ht="36" customHeight="1">
      <c r="A46" s="555"/>
      <c r="B46" s="562" t="s">
        <v>355</v>
      </c>
      <c r="C46" s="556"/>
      <c r="D46" s="557" t="s">
        <v>350</v>
      </c>
      <c r="E46" s="559">
        <v>5977.11</v>
      </c>
      <c r="F46" s="559">
        <v>98700.89</v>
      </c>
    </row>
    <row r="47" spans="1:6" ht="69" customHeight="1">
      <c r="A47" s="538" t="s">
        <v>356</v>
      </c>
      <c r="B47" s="539" t="s">
        <v>357</v>
      </c>
      <c r="C47" s="560" t="s">
        <v>358</v>
      </c>
      <c r="D47" s="541"/>
      <c r="E47" s="543"/>
      <c r="F47" s="543"/>
    </row>
    <row r="48" spans="1:6" ht="50.25" customHeight="1">
      <c r="A48" s="548"/>
      <c r="B48" s="562" t="s">
        <v>359</v>
      </c>
      <c r="C48" s="550"/>
      <c r="D48" s="551"/>
      <c r="E48" s="553"/>
      <c r="F48" s="553"/>
    </row>
    <row r="49" spans="1:6" ht="38.25" customHeight="1">
      <c r="A49" s="555"/>
      <c r="B49" s="562" t="s">
        <v>360</v>
      </c>
      <c r="C49" s="556"/>
      <c r="D49" s="557" t="s">
        <v>350</v>
      </c>
      <c r="E49" s="559">
        <v>0</v>
      </c>
      <c r="F49" s="559">
        <f>5800+125000</f>
        <v>130800</v>
      </c>
    </row>
    <row r="50" spans="1:6" ht="63.75">
      <c r="A50" s="538" t="s">
        <v>361</v>
      </c>
      <c r="B50" s="539" t="s">
        <v>357</v>
      </c>
      <c r="C50" s="560" t="s">
        <v>362</v>
      </c>
      <c r="D50" s="541"/>
      <c r="E50" s="543"/>
      <c r="F50" s="543"/>
    </row>
    <row r="51" spans="1:6" ht="33.75" customHeight="1">
      <c r="A51" s="548"/>
      <c r="B51" s="562" t="s">
        <v>363</v>
      </c>
      <c r="C51" s="550"/>
      <c r="D51" s="551"/>
      <c r="E51" s="553"/>
      <c r="F51" s="553"/>
    </row>
    <row r="52" spans="1:6" ht="26.25" customHeight="1">
      <c r="A52" s="555"/>
      <c r="B52" s="562" t="s">
        <v>364</v>
      </c>
      <c r="C52" s="556"/>
      <c r="D52" s="557" t="s">
        <v>350</v>
      </c>
      <c r="E52" s="559">
        <v>0</v>
      </c>
      <c r="F52" s="559">
        <f>10000+64969.06</f>
        <v>74969.06</v>
      </c>
    </row>
    <row r="53" spans="3:11" ht="18.75">
      <c r="C53" s="4"/>
      <c r="D53" s="4"/>
      <c r="E53" s="573"/>
      <c r="F53" s="28"/>
      <c r="K53" s="572"/>
    </row>
    <row r="54" spans="3:6" ht="18.75">
      <c r="C54" s="4"/>
      <c r="D54" s="4"/>
      <c r="E54" s="51"/>
      <c r="F54" s="574"/>
    </row>
    <row r="55" spans="3:6" ht="18.75">
      <c r="C55" s="4"/>
      <c r="D55" s="4"/>
      <c r="E55" s="51"/>
      <c r="F55" s="574"/>
    </row>
    <row r="56" spans="3:6" ht="18.75">
      <c r="C56" s="4"/>
      <c r="D56" s="4"/>
      <c r="E56" s="28"/>
      <c r="F56" s="28"/>
    </row>
    <row r="57" spans="3:6" ht="18.75">
      <c r="C57" s="4"/>
      <c r="D57" s="4"/>
      <c r="E57" s="51"/>
      <c r="F57" s="574"/>
    </row>
    <row r="58" spans="3:6" ht="18.75">
      <c r="C58" s="4"/>
      <c r="D58" s="4"/>
      <c r="E58" s="28"/>
      <c r="F58" s="28"/>
    </row>
    <row r="59" spans="3:6" ht="18.75">
      <c r="C59" s="4"/>
      <c r="D59" s="4"/>
      <c r="E59" s="28"/>
      <c r="F59" s="28"/>
    </row>
    <row r="60" spans="3:6" ht="18.75">
      <c r="C60" s="4"/>
      <c r="D60" s="4"/>
      <c r="E60" s="28"/>
      <c r="F60" s="28"/>
    </row>
    <row r="61" spans="3:6" ht="18.75">
      <c r="C61" s="4"/>
      <c r="D61" s="4"/>
      <c r="E61" s="28"/>
      <c r="F61" s="28"/>
    </row>
    <row r="62" spans="3:6" ht="18.75">
      <c r="C62" s="4"/>
      <c r="D62" s="4"/>
      <c r="E62" s="28"/>
      <c r="F62" s="28"/>
    </row>
    <row r="63" spans="3:6" ht="18.75">
      <c r="C63" s="4"/>
      <c r="D63" s="4"/>
      <c r="E63" s="28"/>
      <c r="F63" s="28"/>
    </row>
    <row r="64" spans="3:6" ht="18.75">
      <c r="C64" s="4"/>
      <c r="D64" s="4"/>
      <c r="E64" s="28"/>
      <c r="F64" s="28"/>
    </row>
    <row r="65" spans="3:6" ht="18.75">
      <c r="C65" s="4"/>
      <c r="D65" s="4"/>
      <c r="E65" s="28"/>
      <c r="F65" s="28"/>
    </row>
    <row r="66" spans="5:6" ht="18.75">
      <c r="E66" s="28"/>
      <c r="F66" s="28"/>
    </row>
    <row r="67" spans="5:6" ht="18.75">
      <c r="E67" s="28"/>
      <c r="F67" s="28"/>
    </row>
    <row r="68" spans="5:6" ht="18.75">
      <c r="E68" s="28"/>
      <c r="F68" s="28"/>
    </row>
    <row r="69" spans="5:6" ht="18.75">
      <c r="E69" s="28"/>
      <c r="F69" s="28"/>
    </row>
    <row r="70" spans="5:6" ht="18.75">
      <c r="E70" s="28"/>
      <c r="F70" s="28"/>
    </row>
    <row r="71" spans="5:6" ht="18.75">
      <c r="E71" s="28"/>
      <c r="F71" s="28"/>
    </row>
    <row r="72" spans="5:6" ht="18.75">
      <c r="E72" s="28"/>
      <c r="F72" s="28"/>
    </row>
    <row r="73" spans="5:6" ht="18.75">
      <c r="E73" s="28"/>
      <c r="F73" s="28"/>
    </row>
    <row r="74" spans="5:6" ht="18.75">
      <c r="E74" s="28"/>
      <c r="F74" s="28"/>
    </row>
    <row r="75" spans="5:6" ht="18.75">
      <c r="E75" s="28"/>
      <c r="F75" s="28"/>
    </row>
    <row r="76" spans="5:6" ht="18.75">
      <c r="E76" s="28"/>
      <c r="F76" s="28"/>
    </row>
    <row r="77" spans="5:6" ht="18.75">
      <c r="E77" s="28"/>
      <c r="F77" s="28"/>
    </row>
    <row r="78" spans="5:6" ht="18.75">
      <c r="E78" s="28"/>
      <c r="F78" s="28"/>
    </row>
    <row r="79" spans="5:6" ht="18.75">
      <c r="E79" s="28"/>
      <c r="F79" s="28"/>
    </row>
    <row r="80" spans="5:6" ht="18.75">
      <c r="E80" s="28"/>
      <c r="F80" s="28"/>
    </row>
    <row r="81" spans="5:6" ht="18.75">
      <c r="E81" s="28"/>
      <c r="F81" s="28"/>
    </row>
    <row r="82" spans="5:6" ht="18.75">
      <c r="E82" s="28"/>
      <c r="F82" s="28"/>
    </row>
    <row r="83" spans="5:6" ht="18.75">
      <c r="E83" s="28"/>
      <c r="F83" s="28"/>
    </row>
    <row r="84" spans="5:6" ht="18.75">
      <c r="E84" s="28"/>
      <c r="F84" s="28"/>
    </row>
    <row r="85" spans="5:6" ht="18.75">
      <c r="E85" s="28"/>
      <c r="F85" s="28"/>
    </row>
    <row r="86" spans="5:6" ht="18.75">
      <c r="E86" s="28"/>
      <c r="F86" s="28"/>
    </row>
    <row r="87" spans="5:6" ht="18.75">
      <c r="E87" s="28"/>
      <c r="F87" s="28"/>
    </row>
    <row r="88" spans="5:6" ht="18.75">
      <c r="E88" s="28"/>
      <c r="F88" s="28"/>
    </row>
    <row r="89" spans="5:6" ht="18.75">
      <c r="E89" s="28"/>
      <c r="F89" s="28"/>
    </row>
    <row r="90" spans="5:6" ht="18.75">
      <c r="E90" s="28"/>
      <c r="F90" s="28"/>
    </row>
    <row r="91" spans="5:6" ht="18.75">
      <c r="E91" s="28"/>
      <c r="F91" s="28"/>
    </row>
    <row r="92" spans="5:6" ht="18.75">
      <c r="E92" s="28"/>
      <c r="F92" s="28"/>
    </row>
    <row r="93" spans="5:6" ht="18.75">
      <c r="E93" s="28"/>
      <c r="F93" s="28"/>
    </row>
    <row r="94" spans="5:6" ht="18.75">
      <c r="E94" s="28"/>
      <c r="F94" s="28"/>
    </row>
    <row r="95" spans="5:6" ht="18.75">
      <c r="E95" s="28"/>
      <c r="F95" s="28"/>
    </row>
    <row r="96" spans="5:6" ht="18.75">
      <c r="E96" s="28"/>
      <c r="F96" s="28"/>
    </row>
    <row r="97" spans="5:6" ht="18.75">
      <c r="E97" s="28"/>
      <c r="F97" s="28"/>
    </row>
    <row r="98" spans="5:6" ht="18.75">
      <c r="E98" s="28"/>
      <c r="F98" s="28"/>
    </row>
    <row r="99" spans="5:6" ht="18.75">
      <c r="E99" s="28"/>
      <c r="F99" s="28"/>
    </row>
    <row r="100" spans="5:6" ht="18.75">
      <c r="E100" s="28"/>
      <c r="F100" s="28"/>
    </row>
    <row r="101" spans="5:6" ht="18.75">
      <c r="E101" s="28"/>
      <c r="F101" s="28"/>
    </row>
    <row r="102" spans="5:6" ht="18.75">
      <c r="E102" s="28"/>
      <c r="F102" s="28"/>
    </row>
    <row r="103" spans="5:6" ht="18.75">
      <c r="E103" s="28"/>
      <c r="F103" s="28"/>
    </row>
    <row r="104" spans="5:6" ht="18.75">
      <c r="E104" s="28"/>
      <c r="F104" s="28"/>
    </row>
    <row r="105" spans="5:6" ht="18.75">
      <c r="E105" s="28"/>
      <c r="F105" s="28"/>
    </row>
    <row r="106" spans="5:6" ht="18.75">
      <c r="E106" s="28"/>
      <c r="F106" s="28"/>
    </row>
    <row r="107" spans="5:6" ht="18.75">
      <c r="E107" s="28"/>
      <c r="F107" s="28"/>
    </row>
    <row r="108" spans="5:6" ht="18.75">
      <c r="E108" s="28"/>
      <c r="F108" s="28"/>
    </row>
    <row r="109" spans="5:6" ht="18.75">
      <c r="E109" s="28"/>
      <c r="F109" s="28"/>
    </row>
    <row r="110" spans="5:6" ht="18.75">
      <c r="E110" s="28"/>
      <c r="F110" s="28"/>
    </row>
    <row r="111" spans="5:6" ht="18.75">
      <c r="E111" s="28"/>
      <c r="F111" s="28"/>
    </row>
    <row r="112" spans="5:6" ht="18.75">
      <c r="E112" s="28"/>
      <c r="F112" s="28"/>
    </row>
    <row r="113" spans="5:6" ht="18.75">
      <c r="E113" s="28"/>
      <c r="F113" s="28"/>
    </row>
    <row r="114" spans="5:6" ht="18.75">
      <c r="E114" s="28"/>
      <c r="F114" s="28"/>
    </row>
    <row r="115" spans="5:6" ht="18.75">
      <c r="E115" s="28"/>
      <c r="F115" s="28"/>
    </row>
    <row r="116" spans="5:6" ht="18.75">
      <c r="E116" s="28"/>
      <c r="F116" s="28"/>
    </row>
    <row r="117" spans="5:6" ht="18.75">
      <c r="E117" s="28"/>
      <c r="F117" s="28"/>
    </row>
    <row r="118" spans="5:6" ht="18.75">
      <c r="E118" s="28"/>
      <c r="F118" s="28"/>
    </row>
    <row r="119" spans="5:6" ht="18.75">
      <c r="E119" s="28"/>
      <c r="F119" s="28"/>
    </row>
    <row r="120" spans="5:6" ht="18.75">
      <c r="E120" s="28"/>
      <c r="F120" s="28"/>
    </row>
    <row r="121" spans="5:6" ht="18.75">
      <c r="E121" s="28"/>
      <c r="F121" s="28"/>
    </row>
    <row r="122" spans="5:6" ht="18.75">
      <c r="E122" s="28"/>
      <c r="F122" s="28"/>
    </row>
    <row r="123" spans="5:6" ht="18.75">
      <c r="E123" s="28"/>
      <c r="F123" s="28"/>
    </row>
    <row r="124" spans="5:6" ht="18.75">
      <c r="E124" s="28"/>
      <c r="F124" s="28"/>
    </row>
    <row r="125" spans="5:6" ht="18.75">
      <c r="E125" s="28"/>
      <c r="F125" s="28"/>
    </row>
    <row r="126" spans="5:6" ht="18.75">
      <c r="E126" s="28"/>
      <c r="F126" s="28"/>
    </row>
    <row r="127" spans="5:6" ht="18.75">
      <c r="E127" s="28"/>
      <c r="F127" s="28"/>
    </row>
    <row r="128" spans="5:6" ht="18.75">
      <c r="E128" s="28"/>
      <c r="F128" s="28"/>
    </row>
    <row r="129" spans="5:6" ht="18.75">
      <c r="E129" s="28"/>
      <c r="F129" s="28"/>
    </row>
    <row r="130" spans="5:6" ht="18.75">
      <c r="E130" s="28"/>
      <c r="F130" s="28"/>
    </row>
    <row r="131" spans="5:6" ht="18.75">
      <c r="E131" s="28"/>
      <c r="F131" s="28"/>
    </row>
    <row r="132" spans="5:6" ht="18.75">
      <c r="E132" s="28"/>
      <c r="F132" s="28"/>
    </row>
    <row r="133" spans="5:6" ht="18.75">
      <c r="E133" s="28"/>
      <c r="F133" s="28"/>
    </row>
    <row r="134" spans="5:6" ht="18.75">
      <c r="E134" s="28"/>
      <c r="F134" s="28"/>
    </row>
    <row r="135" spans="5:6" ht="18.75">
      <c r="E135" s="28"/>
      <c r="F135" s="28"/>
    </row>
    <row r="136" spans="5:6" ht="18.75">
      <c r="E136" s="28"/>
      <c r="F136" s="28"/>
    </row>
    <row r="137" spans="5:6" ht="18.75">
      <c r="E137" s="28"/>
      <c r="F137" s="28"/>
    </row>
    <row r="138" spans="5:6" ht="18.75">
      <c r="E138" s="28"/>
      <c r="F138" s="28"/>
    </row>
    <row r="139" spans="5:6" ht="18.75">
      <c r="E139" s="28"/>
      <c r="F139" s="28"/>
    </row>
    <row r="140" spans="5:6" ht="18.75">
      <c r="E140" s="28"/>
      <c r="F140" s="28"/>
    </row>
    <row r="141" spans="5:6" ht="18.75">
      <c r="E141" s="28"/>
      <c r="F141" s="28"/>
    </row>
    <row r="142" spans="5:6" ht="18.75">
      <c r="E142" s="28"/>
      <c r="F142" s="28"/>
    </row>
    <row r="143" spans="5:6" ht="18.75">
      <c r="E143" s="28"/>
      <c r="F143" s="28"/>
    </row>
    <row r="144" spans="5:6" ht="18.75">
      <c r="E144" s="28"/>
      <c r="F144" s="28"/>
    </row>
    <row r="145" spans="5:6" ht="18.75">
      <c r="E145" s="28"/>
      <c r="F145" s="28"/>
    </row>
    <row r="146" spans="5:6" ht="18.75">
      <c r="E146" s="28"/>
      <c r="F146" s="28"/>
    </row>
    <row r="147" spans="5:6" ht="18.75">
      <c r="E147" s="28"/>
      <c r="F147" s="28"/>
    </row>
    <row r="148" spans="5:6" ht="18.75">
      <c r="E148" s="28"/>
      <c r="F148" s="28"/>
    </row>
    <row r="149" spans="5:6" ht="18.75">
      <c r="E149" s="28"/>
      <c r="F149" s="28"/>
    </row>
    <row r="150" spans="5:6" ht="18.75">
      <c r="E150" s="28"/>
      <c r="F150" s="28"/>
    </row>
    <row r="151" spans="5:6" ht="18.75">
      <c r="E151" s="28"/>
      <c r="F151" s="28"/>
    </row>
    <row r="152" spans="5:6" ht="18.75">
      <c r="E152" s="28"/>
      <c r="F152" s="28"/>
    </row>
    <row r="153" spans="5:6" ht="18.75">
      <c r="E153" s="28"/>
      <c r="F153" s="28"/>
    </row>
    <row r="154" spans="5:6" ht="18.75">
      <c r="E154" s="28"/>
      <c r="F154" s="28"/>
    </row>
    <row r="155" spans="5:6" ht="18.75">
      <c r="E155" s="28"/>
      <c r="F155" s="28"/>
    </row>
    <row r="156" spans="5:6" ht="18.75">
      <c r="E156" s="28"/>
      <c r="F156" s="28"/>
    </row>
    <row r="157" spans="5:6" ht="18.75">
      <c r="E157" s="28"/>
      <c r="F157" s="28"/>
    </row>
    <row r="158" spans="5:6" ht="18.75">
      <c r="E158" s="28"/>
      <c r="F158" s="28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D77" sqref="D77"/>
    </sheetView>
  </sheetViews>
  <sheetFormatPr defaultColWidth="9.140625" defaultRowHeight="12.75"/>
  <cols>
    <col min="1" max="1" width="4.57421875" style="2" customWidth="1"/>
    <col min="2" max="2" width="25.140625" style="2" customWidth="1"/>
    <col min="3" max="3" width="44.7109375" style="157" customWidth="1"/>
    <col min="4" max="4" width="16.140625" style="4" customWidth="1"/>
    <col min="5" max="6" width="9.140625" style="2" customWidth="1"/>
    <col min="7" max="7" width="20.140625" style="2" customWidth="1"/>
    <col min="8" max="16384" width="9.140625" style="2" customWidth="1"/>
  </cols>
  <sheetData>
    <row r="1" ht="19.5" customHeight="1">
      <c r="C1" s="396" t="s">
        <v>375</v>
      </c>
    </row>
    <row r="2" ht="19.5" customHeight="1">
      <c r="C2" s="397" t="s">
        <v>208</v>
      </c>
    </row>
    <row r="3" ht="15" customHeight="1">
      <c r="C3" s="397" t="s">
        <v>50</v>
      </c>
    </row>
    <row r="4" ht="17.25" customHeight="1">
      <c r="C4" s="195" t="s">
        <v>444</v>
      </c>
    </row>
    <row r="5" ht="14.25" customHeight="1">
      <c r="C5" s="397"/>
    </row>
    <row r="6" ht="14.25" customHeight="1">
      <c r="C6" s="397"/>
    </row>
    <row r="7" spans="1:4" s="26" customFormat="1" ht="19.5" customHeight="1">
      <c r="A7" s="398" t="s">
        <v>218</v>
      </c>
      <c r="B7" s="399"/>
      <c r="C7" s="196"/>
      <c r="D7" s="4"/>
    </row>
    <row r="8" spans="1:4" s="26" customFormat="1" ht="19.5" customHeight="1">
      <c r="A8" s="398" t="s">
        <v>219</v>
      </c>
      <c r="B8" s="399"/>
      <c r="C8" s="196"/>
      <c r="D8" s="4"/>
    </row>
    <row r="9" spans="1:3" ht="18.75" customHeight="1">
      <c r="A9" s="398" t="s">
        <v>220</v>
      </c>
      <c r="B9" s="34"/>
      <c r="C9" s="196"/>
    </row>
    <row r="10" spans="1:2" ht="13.5">
      <c r="A10" s="90" t="s">
        <v>5</v>
      </c>
      <c r="B10" s="400"/>
    </row>
    <row r="11" spans="3:4" ht="11.25" customHeight="1">
      <c r="C11" s="401"/>
      <c r="D11" s="402" t="s">
        <v>87</v>
      </c>
    </row>
    <row r="12" spans="1:4" ht="33" customHeight="1">
      <c r="A12" s="375" t="s">
        <v>15</v>
      </c>
      <c r="B12" s="375" t="s">
        <v>221</v>
      </c>
      <c r="C12" s="233" t="s">
        <v>222</v>
      </c>
      <c r="D12" s="403" t="s">
        <v>223</v>
      </c>
    </row>
    <row r="13" spans="1:4" s="34" customFormat="1" ht="22.5" customHeight="1">
      <c r="A13" s="404" t="s">
        <v>224</v>
      </c>
      <c r="B13" s="405"/>
      <c r="C13" s="406"/>
      <c r="D13" s="407">
        <f>D14+D20</f>
        <v>9527832.75</v>
      </c>
    </row>
    <row r="14" spans="1:4" s="34" customFormat="1" ht="24.75" customHeight="1">
      <c r="A14" s="408" t="s">
        <v>225</v>
      </c>
      <c r="B14" s="409"/>
      <c r="C14" s="410"/>
      <c r="D14" s="407">
        <f>D15</f>
        <v>2823848</v>
      </c>
    </row>
    <row r="15" spans="1:4" s="34" customFormat="1" ht="30" customHeight="1">
      <c r="A15" s="234">
        <v>801</v>
      </c>
      <c r="B15" s="338" t="s">
        <v>117</v>
      </c>
      <c r="C15" s="412"/>
      <c r="D15" s="413">
        <f>SUM(D16:D19)</f>
        <v>2823848</v>
      </c>
    </row>
    <row r="16" spans="1:4" s="34" customFormat="1" ht="30" customHeight="1">
      <c r="A16" s="497"/>
      <c r="B16" s="415"/>
      <c r="C16" s="269" t="s">
        <v>226</v>
      </c>
      <c r="D16" s="653">
        <f>91600+117248-30000-2500+31000</f>
        <v>207348</v>
      </c>
    </row>
    <row r="17" spans="1:4" s="34" customFormat="1" ht="29.25" customHeight="1">
      <c r="A17" s="414"/>
      <c r="B17" s="415"/>
      <c r="C17" s="269" t="s">
        <v>227</v>
      </c>
      <c r="D17" s="653">
        <f>90000+110000+110000+1350000+100000+510000+568000-21500-41700-508000-35000-510000+10000-184300-16000</f>
        <v>1531500</v>
      </c>
    </row>
    <row r="18" spans="1:4" s="34" customFormat="1" ht="33" customHeight="1">
      <c r="A18" s="414"/>
      <c r="B18" s="415"/>
      <c r="C18" s="269" t="s">
        <v>228</v>
      </c>
      <c r="D18" s="416">
        <f>304600+461200-50000-120000-10000-37000</f>
        <v>548800</v>
      </c>
    </row>
    <row r="19" spans="1:4" s="34" customFormat="1" ht="33" customHeight="1">
      <c r="A19" s="498"/>
      <c r="B19" s="415"/>
      <c r="C19" s="269" t="s">
        <v>229</v>
      </c>
      <c r="D19" s="637">
        <f>21500+41700+508000-25000-10000</f>
        <v>536200</v>
      </c>
    </row>
    <row r="20" spans="1:4" s="34" customFormat="1" ht="24.75" customHeight="1">
      <c r="A20" s="408" t="s">
        <v>230</v>
      </c>
      <c r="B20" s="409"/>
      <c r="C20" s="410"/>
      <c r="D20" s="417">
        <f>D21+D23+D26+D37+D43+D52+D56+D62</f>
        <v>6703984.75</v>
      </c>
    </row>
    <row r="21" spans="1:4" s="34" customFormat="1" ht="35.25" customHeight="1">
      <c r="A21" s="234">
        <v>754</v>
      </c>
      <c r="B21" s="338" t="s">
        <v>110</v>
      </c>
      <c r="C21" s="269"/>
      <c r="D21" s="417">
        <f>D22</f>
        <v>20000</v>
      </c>
    </row>
    <row r="22" spans="1:4" s="34" customFormat="1" ht="35.25" customHeight="1">
      <c r="A22" s="418"/>
      <c r="B22" s="336"/>
      <c r="C22" s="269" t="s">
        <v>113</v>
      </c>
      <c r="D22" s="416">
        <v>20000</v>
      </c>
    </row>
    <row r="23" spans="1:4" s="34" customFormat="1" ht="25.5" customHeight="1">
      <c r="A23" s="303">
        <v>801</v>
      </c>
      <c r="B23" s="436" t="s">
        <v>117</v>
      </c>
      <c r="C23" s="425"/>
      <c r="D23" s="499">
        <f>D24+D25</f>
        <v>13444.75</v>
      </c>
    </row>
    <row r="24" spans="1:4" s="34" customFormat="1" ht="35.25" customHeight="1">
      <c r="A24" s="500"/>
      <c r="B24" s="501"/>
      <c r="C24" s="447" t="s">
        <v>305</v>
      </c>
      <c r="D24" s="502">
        <f>6242.12+2054.25</f>
        <v>8296.369999999999</v>
      </c>
    </row>
    <row r="25" spans="1:4" s="34" customFormat="1" ht="35.25" customHeight="1">
      <c r="A25" s="480"/>
      <c r="B25" s="503"/>
      <c r="C25" s="447" t="s">
        <v>306</v>
      </c>
      <c r="D25" s="502">
        <f>5148.38</f>
        <v>5148.38</v>
      </c>
    </row>
    <row r="26" spans="1:4" s="34" customFormat="1" ht="27" customHeight="1">
      <c r="A26" s="307">
        <v>851</v>
      </c>
      <c r="B26" s="419" t="s">
        <v>231</v>
      </c>
      <c r="C26" s="420"/>
      <c r="D26" s="421">
        <f>SUM(D27:D36)</f>
        <v>976000</v>
      </c>
    </row>
    <row r="27" spans="1:4" s="34" customFormat="1" ht="39" customHeight="1">
      <c r="A27" s="292"/>
      <c r="B27" s="422"/>
      <c r="C27" s="269" t="s">
        <v>232</v>
      </c>
      <c r="D27" s="416">
        <v>90000</v>
      </c>
    </row>
    <row r="28" spans="1:4" s="34" customFormat="1" ht="33.75" customHeight="1">
      <c r="A28" s="303"/>
      <c r="B28" s="423"/>
      <c r="C28" s="269" t="s">
        <v>233</v>
      </c>
      <c r="D28" s="416">
        <v>440000</v>
      </c>
    </row>
    <row r="29" spans="1:4" s="34" customFormat="1" ht="44.25" customHeight="1">
      <c r="A29" s="303"/>
      <c r="B29" s="424"/>
      <c r="C29" s="269" t="s">
        <v>234</v>
      </c>
      <c r="D29" s="416">
        <v>50000</v>
      </c>
    </row>
    <row r="30" spans="1:4" s="34" customFormat="1" ht="32.25" customHeight="1">
      <c r="A30" s="303"/>
      <c r="B30" s="424"/>
      <c r="C30" s="269" t="s">
        <v>235</v>
      </c>
      <c r="D30" s="416">
        <v>10000</v>
      </c>
    </row>
    <row r="31" spans="1:4" s="34" customFormat="1" ht="54.75" customHeight="1">
      <c r="A31" s="303"/>
      <c r="B31" s="424"/>
      <c r="C31" s="269" t="s">
        <v>236</v>
      </c>
      <c r="D31" s="416">
        <v>120000</v>
      </c>
    </row>
    <row r="32" spans="1:4" s="34" customFormat="1" ht="36" customHeight="1">
      <c r="A32" s="303"/>
      <c r="B32" s="424"/>
      <c r="C32" s="269" t="s">
        <v>237</v>
      </c>
      <c r="D32" s="416">
        <v>40000</v>
      </c>
    </row>
    <row r="33" spans="1:4" s="34" customFormat="1" ht="27.75" customHeight="1">
      <c r="A33" s="303"/>
      <c r="B33" s="424"/>
      <c r="C33" s="269" t="s">
        <v>238</v>
      </c>
      <c r="D33" s="416">
        <v>101000</v>
      </c>
    </row>
    <row r="34" spans="1:4" s="34" customFormat="1" ht="31.5" customHeight="1">
      <c r="A34" s="303"/>
      <c r="B34" s="424"/>
      <c r="C34" s="269" t="s">
        <v>239</v>
      </c>
      <c r="D34" s="416">
        <v>90000</v>
      </c>
    </row>
    <row r="35" spans="1:4" s="34" customFormat="1" ht="33.75" customHeight="1">
      <c r="A35" s="303"/>
      <c r="B35" s="424"/>
      <c r="C35" s="269" t="s">
        <v>240</v>
      </c>
      <c r="D35" s="416">
        <v>25000</v>
      </c>
    </row>
    <row r="36" spans="1:4" s="34" customFormat="1" ht="23.25" customHeight="1">
      <c r="A36" s="303"/>
      <c r="B36" s="424"/>
      <c r="C36" s="425" t="s">
        <v>241</v>
      </c>
      <c r="D36" s="426">
        <v>10000</v>
      </c>
    </row>
    <row r="37" spans="1:4" s="34" customFormat="1" ht="21" customHeight="1">
      <c r="A37" s="292">
        <v>852</v>
      </c>
      <c r="B37" s="427" t="s">
        <v>202</v>
      </c>
      <c r="C37" s="420"/>
      <c r="D37" s="428">
        <f>SUM(D38:D42)</f>
        <v>1599640</v>
      </c>
    </row>
    <row r="38" spans="1:4" s="34" customFormat="1" ht="37.5" customHeight="1">
      <c r="A38" s="429"/>
      <c r="B38" s="430"/>
      <c r="C38" s="217" t="s">
        <v>242</v>
      </c>
      <c r="D38" s="416">
        <f>1056000+86000</f>
        <v>1142000</v>
      </c>
    </row>
    <row r="39" spans="1:4" s="34" customFormat="1" ht="27" customHeight="1">
      <c r="A39" s="285"/>
      <c r="B39" s="431"/>
      <c r="C39" s="432" t="s">
        <v>243</v>
      </c>
      <c r="D39" s="416">
        <v>210000</v>
      </c>
    </row>
    <row r="40" spans="1:4" s="34" customFormat="1" ht="38.25" customHeight="1">
      <c r="A40" s="285"/>
      <c r="B40" s="431"/>
      <c r="C40" s="432" t="s">
        <v>244</v>
      </c>
      <c r="D40" s="416">
        <v>85000</v>
      </c>
    </row>
    <row r="41" spans="1:4" s="34" customFormat="1" ht="38.25" customHeight="1">
      <c r="A41" s="285"/>
      <c r="B41" s="431"/>
      <c r="C41" s="432" t="s">
        <v>245</v>
      </c>
      <c r="D41" s="416">
        <v>40000</v>
      </c>
    </row>
    <row r="42" spans="1:4" s="34" customFormat="1" ht="38.25" customHeight="1">
      <c r="A42" s="285"/>
      <c r="B42" s="431"/>
      <c r="C42" s="432" t="s">
        <v>307</v>
      </c>
      <c r="D42" s="416">
        <v>122640</v>
      </c>
    </row>
    <row r="43" spans="1:4" s="34" customFormat="1" ht="34.5" customHeight="1">
      <c r="A43" s="234">
        <v>853</v>
      </c>
      <c r="B43" s="433" t="s">
        <v>138</v>
      </c>
      <c r="C43" s="434"/>
      <c r="D43" s="413">
        <f>SUM(D44:D51)</f>
        <v>413900</v>
      </c>
    </row>
    <row r="44" spans="1:4" s="34" customFormat="1" ht="30" customHeight="1">
      <c r="A44" s="285"/>
      <c r="B44" s="431"/>
      <c r="C44" s="434" t="s">
        <v>246</v>
      </c>
      <c r="D44" s="416">
        <f>96000-20000</f>
        <v>76000</v>
      </c>
    </row>
    <row r="45" spans="1:4" s="34" customFormat="1" ht="30" customHeight="1">
      <c r="A45" s="285"/>
      <c r="B45" s="431"/>
      <c r="C45" s="435" t="s">
        <v>247</v>
      </c>
      <c r="D45" s="416">
        <v>72000</v>
      </c>
    </row>
    <row r="46" spans="1:4" s="34" customFormat="1" ht="30" customHeight="1">
      <c r="A46" s="285"/>
      <c r="B46" s="431"/>
      <c r="C46" s="435" t="s">
        <v>248</v>
      </c>
      <c r="D46" s="416">
        <v>19800</v>
      </c>
    </row>
    <row r="47" spans="1:4" s="34" customFormat="1" ht="30.75" customHeight="1">
      <c r="A47" s="285"/>
      <c r="B47" s="431"/>
      <c r="C47" s="435" t="s">
        <v>249</v>
      </c>
      <c r="D47" s="416">
        <v>24000</v>
      </c>
    </row>
    <row r="48" spans="1:4" s="34" customFormat="1" ht="30.75" customHeight="1">
      <c r="A48" s="285"/>
      <c r="B48" s="431"/>
      <c r="C48" s="432" t="s">
        <v>250</v>
      </c>
      <c r="D48" s="416">
        <v>18500</v>
      </c>
    </row>
    <row r="49" spans="1:4" s="34" customFormat="1" ht="30.75" customHeight="1">
      <c r="A49" s="285"/>
      <c r="B49" s="431"/>
      <c r="C49" s="432" t="s">
        <v>251</v>
      </c>
      <c r="D49" s="416">
        <v>30000</v>
      </c>
    </row>
    <row r="50" spans="1:4" s="34" customFormat="1" ht="46.5" customHeight="1">
      <c r="A50" s="285"/>
      <c r="B50" s="436"/>
      <c r="C50" s="434" t="s">
        <v>252</v>
      </c>
      <c r="D50" s="654">
        <f>29333.5+5176.5+27066.77+4776.5-15090.27-2663</f>
        <v>48600</v>
      </c>
    </row>
    <row r="51" spans="1:4" s="34" customFormat="1" ht="42" customHeight="1">
      <c r="A51" s="285"/>
      <c r="B51" s="436"/>
      <c r="C51" s="434" t="s">
        <v>308</v>
      </c>
      <c r="D51" s="416">
        <v>125000</v>
      </c>
    </row>
    <row r="52" spans="1:4" s="34" customFormat="1" ht="38.25" customHeight="1">
      <c r="A52" s="234">
        <v>900</v>
      </c>
      <c r="B52" s="433" t="s">
        <v>253</v>
      </c>
      <c r="C52" s="437"/>
      <c r="D52" s="407">
        <f>SUM(D53:D55)</f>
        <v>982000</v>
      </c>
    </row>
    <row r="53" spans="1:4" s="34" customFormat="1" ht="51.75" customHeight="1">
      <c r="A53" s="438"/>
      <c r="B53" s="439"/>
      <c r="C53" s="440" t="s">
        <v>254</v>
      </c>
      <c r="D53" s="416">
        <v>282000</v>
      </c>
    </row>
    <row r="54" spans="1:4" s="177" customFormat="1" ht="36" customHeight="1">
      <c r="A54" s="352"/>
      <c r="B54" s="441"/>
      <c r="C54" s="442" t="s">
        <v>255</v>
      </c>
      <c r="D54" s="443">
        <v>30000</v>
      </c>
    </row>
    <row r="55" spans="1:4" s="34" customFormat="1" ht="40.5" customHeight="1">
      <c r="A55" s="444"/>
      <c r="B55" s="445"/>
      <c r="C55" s="442" t="s">
        <v>256</v>
      </c>
      <c r="D55" s="416">
        <f>150000+500000+20000</f>
        <v>670000</v>
      </c>
    </row>
    <row r="56" spans="1:4" s="34" customFormat="1" ht="39" customHeight="1">
      <c r="A56" s="292">
        <v>921</v>
      </c>
      <c r="B56" s="446" t="s">
        <v>170</v>
      </c>
      <c r="C56" s="433"/>
      <c r="D56" s="407">
        <f>SUM(D57:D61)</f>
        <v>154000</v>
      </c>
    </row>
    <row r="57" spans="1:4" s="34" customFormat="1" ht="42.75" customHeight="1">
      <c r="A57" s="438"/>
      <c r="B57" s="439"/>
      <c r="C57" s="447" t="s">
        <v>257</v>
      </c>
      <c r="D57" s="416">
        <v>50000</v>
      </c>
    </row>
    <row r="58" spans="1:4" s="34" customFormat="1" ht="42" customHeight="1">
      <c r="A58" s="352"/>
      <c r="B58" s="441"/>
      <c r="C58" s="447" t="s">
        <v>258</v>
      </c>
      <c r="D58" s="416">
        <v>10000</v>
      </c>
    </row>
    <row r="59" spans="1:4" s="34" customFormat="1" ht="33" customHeight="1">
      <c r="A59" s="352"/>
      <c r="B59" s="441"/>
      <c r="C59" s="614" t="s">
        <v>374</v>
      </c>
      <c r="D59" s="416">
        <v>9000</v>
      </c>
    </row>
    <row r="60" spans="1:4" s="34" customFormat="1" ht="31.5" customHeight="1">
      <c r="A60" s="352"/>
      <c r="B60" s="441"/>
      <c r="C60" s="448" t="s">
        <v>259</v>
      </c>
      <c r="D60" s="416">
        <f>45000-10000</f>
        <v>35000</v>
      </c>
    </row>
    <row r="61" spans="1:4" s="34" customFormat="1" ht="35.25" customHeight="1">
      <c r="A61" s="444"/>
      <c r="B61" s="445"/>
      <c r="C61" s="448" t="s">
        <v>260</v>
      </c>
      <c r="D61" s="416">
        <v>50000</v>
      </c>
    </row>
    <row r="62" spans="1:4" s="34" customFormat="1" ht="34.5" customHeight="1">
      <c r="A62" s="307">
        <v>926</v>
      </c>
      <c r="B62" s="449" t="s">
        <v>261</v>
      </c>
      <c r="C62" s="437"/>
      <c r="D62" s="407">
        <f>SUM(D63:D65)</f>
        <v>2545000</v>
      </c>
    </row>
    <row r="63" spans="1:4" s="170" customFormat="1" ht="42.75" customHeight="1">
      <c r="A63" s="352"/>
      <c r="B63" s="262"/>
      <c r="C63" s="450" t="s">
        <v>262</v>
      </c>
      <c r="D63" s="416">
        <f>2400000+15000</f>
        <v>2415000</v>
      </c>
    </row>
    <row r="64" spans="1:4" s="170" customFormat="1" ht="38.25" customHeight="1">
      <c r="A64" s="451"/>
      <c r="B64" s="335"/>
      <c r="C64" s="452" t="s">
        <v>263</v>
      </c>
      <c r="D64" s="416">
        <v>115000</v>
      </c>
    </row>
    <row r="65" spans="1:4" s="34" customFormat="1" ht="29.25" customHeight="1">
      <c r="A65" s="451"/>
      <c r="B65" s="335"/>
      <c r="C65" s="453" t="s">
        <v>264</v>
      </c>
      <c r="D65" s="416">
        <v>15000</v>
      </c>
    </row>
    <row r="66" spans="1:4" s="34" customFormat="1" ht="30" customHeight="1">
      <c r="A66" s="454" t="s">
        <v>265</v>
      </c>
      <c r="B66" s="455"/>
      <c r="C66" s="456"/>
      <c r="D66" s="428">
        <f>D67+D77</f>
        <v>6624543.880000001</v>
      </c>
    </row>
    <row r="67" spans="1:4" s="34" customFormat="1" ht="27" customHeight="1">
      <c r="A67" s="457" t="s">
        <v>225</v>
      </c>
      <c r="B67" s="458"/>
      <c r="C67" s="459"/>
      <c r="D67" s="460">
        <f>D68+D73+D75</f>
        <v>6250651.100000001</v>
      </c>
    </row>
    <row r="68" spans="1:4" s="34" customFormat="1" ht="23.25" customHeight="1">
      <c r="A68" s="411">
        <v>801</v>
      </c>
      <c r="B68" s="338" t="s">
        <v>117</v>
      </c>
      <c r="C68" s="269"/>
      <c r="D68" s="413">
        <f>SUM(D69:D72)</f>
        <v>4414159.36</v>
      </c>
    </row>
    <row r="69" spans="1:4" s="34" customFormat="1" ht="30" customHeight="1">
      <c r="A69" s="461"/>
      <c r="B69" s="282"/>
      <c r="C69" s="269" t="s">
        <v>266</v>
      </c>
      <c r="D69" s="653">
        <f>1700000-220000-83000-63200-25100</f>
        <v>1308700</v>
      </c>
    </row>
    <row r="70" spans="1:4" s="34" customFormat="1" ht="30" customHeight="1">
      <c r="A70" s="461"/>
      <c r="B70" s="282"/>
      <c r="C70" s="269" t="s">
        <v>267</v>
      </c>
      <c r="D70" s="653">
        <f>350000-20942-11000</f>
        <v>318058</v>
      </c>
    </row>
    <row r="71" spans="1:4" s="34" customFormat="1" ht="31.5" customHeight="1">
      <c r="A71" s="461"/>
      <c r="B71" s="282"/>
      <c r="C71" s="269" t="s">
        <v>268</v>
      </c>
      <c r="D71" s="653">
        <f>2900000-290000-130000+280000+10130+3310</f>
        <v>2773440</v>
      </c>
    </row>
    <row r="72" spans="1:4" s="34" customFormat="1" ht="31.5" customHeight="1">
      <c r="A72" s="461"/>
      <c r="B72" s="282"/>
      <c r="C72" s="269" t="s">
        <v>269</v>
      </c>
      <c r="D72" s="416">
        <f>20942-6980.64</f>
        <v>13961.36</v>
      </c>
    </row>
    <row r="73" spans="1:4" s="34" customFormat="1" ht="39" customHeight="1">
      <c r="A73" s="292">
        <v>853</v>
      </c>
      <c r="B73" s="462" t="s">
        <v>138</v>
      </c>
      <c r="C73" s="463"/>
      <c r="D73" s="407">
        <f>SUM(D74:D74)</f>
        <v>310931.74</v>
      </c>
    </row>
    <row r="74" spans="1:4" s="194" customFormat="1" ht="37.5" customHeight="1">
      <c r="A74" s="429"/>
      <c r="B74" s="464"/>
      <c r="C74" s="448" t="s">
        <v>270</v>
      </c>
      <c r="D74" s="654">
        <f>310748+870.36-686.62</f>
        <v>310931.74</v>
      </c>
    </row>
    <row r="75" spans="1:4" s="34" customFormat="1" ht="31.5" customHeight="1">
      <c r="A75" s="234">
        <v>854</v>
      </c>
      <c r="B75" s="338" t="s">
        <v>205</v>
      </c>
      <c r="C75" s="269"/>
      <c r="D75" s="465">
        <f>D76</f>
        <v>1525560</v>
      </c>
    </row>
    <row r="76" spans="1:4" s="34" customFormat="1" ht="43.5" customHeight="1">
      <c r="A76" s="466"/>
      <c r="B76" s="467"/>
      <c r="C76" s="269" t="s">
        <v>271</v>
      </c>
      <c r="D76" s="416">
        <f>1500000+25560</f>
        <v>1525560</v>
      </c>
    </row>
    <row r="77" spans="1:4" s="34" customFormat="1" ht="29.25" customHeight="1">
      <c r="A77" s="408" t="s">
        <v>230</v>
      </c>
      <c r="B77" s="468"/>
      <c r="C77" s="469"/>
      <c r="D77" s="470">
        <f>D78+D81+D84</f>
        <v>373892.78</v>
      </c>
    </row>
    <row r="78" spans="1:4" s="34" customFormat="1" ht="34.5" customHeight="1">
      <c r="A78" s="303">
        <v>630</v>
      </c>
      <c r="B78" s="471" t="s">
        <v>185</v>
      </c>
      <c r="C78" s="472" t="s">
        <v>5</v>
      </c>
      <c r="D78" s="407">
        <f>SUM(D79:D80)</f>
        <v>91000</v>
      </c>
    </row>
    <row r="79" spans="1:4" s="34" customFormat="1" ht="36.75" customHeight="1">
      <c r="A79" s="429"/>
      <c r="B79" s="473"/>
      <c r="C79" s="474" t="s">
        <v>272</v>
      </c>
      <c r="D79" s="416">
        <f>60000-9000</f>
        <v>51000</v>
      </c>
    </row>
    <row r="80" spans="1:4" s="34" customFormat="1" ht="30" customHeight="1">
      <c r="A80" s="352"/>
      <c r="B80" s="475"/>
      <c r="C80" s="440" t="s">
        <v>273</v>
      </c>
      <c r="D80" s="416">
        <v>40000</v>
      </c>
    </row>
    <row r="81" spans="1:4" s="34" customFormat="1" ht="26.25" customHeight="1">
      <c r="A81" s="234">
        <v>852</v>
      </c>
      <c r="B81" s="476" t="s">
        <v>202</v>
      </c>
      <c r="C81" s="463"/>
      <c r="D81" s="407">
        <f>SUM(D82:D83)</f>
        <v>207000</v>
      </c>
    </row>
    <row r="82" spans="1:4" s="34" customFormat="1" ht="40.5" customHeight="1">
      <c r="A82" s="335"/>
      <c r="B82" s="335"/>
      <c r="C82" s="463" t="s">
        <v>274</v>
      </c>
      <c r="D82" s="416">
        <v>200000</v>
      </c>
    </row>
    <row r="83" spans="1:4" s="34" customFormat="1" ht="40.5" customHeight="1">
      <c r="A83" s="335"/>
      <c r="B83" s="335"/>
      <c r="C83" s="463" t="s">
        <v>277</v>
      </c>
      <c r="D83" s="426">
        <v>7000</v>
      </c>
    </row>
    <row r="84" spans="1:7" s="34" customFormat="1" ht="38.25" customHeight="1">
      <c r="A84" s="292">
        <v>853</v>
      </c>
      <c r="B84" s="462" t="s">
        <v>138</v>
      </c>
      <c r="C84" s="463"/>
      <c r="D84" s="477">
        <f>SUM(D85)</f>
        <v>75892.78</v>
      </c>
      <c r="G84" s="3"/>
    </row>
    <row r="85" spans="1:7" s="34" customFormat="1" ht="37.5" customHeight="1">
      <c r="A85" s="336"/>
      <c r="B85" s="336"/>
      <c r="C85" s="463" t="s">
        <v>275</v>
      </c>
      <c r="D85" s="416">
        <f>5892.78+70000</f>
        <v>75892.78</v>
      </c>
      <c r="G85" s="3"/>
    </row>
    <row r="86" spans="1:7" s="34" customFormat="1" ht="24.75" customHeight="1">
      <c r="A86" s="679" t="s">
        <v>276</v>
      </c>
      <c r="B86" s="680"/>
      <c r="C86" s="681"/>
      <c r="D86" s="478">
        <f>D13+D66</f>
        <v>16152376.63</v>
      </c>
      <c r="G86" s="3"/>
    </row>
    <row r="87" spans="3:7" s="34" customFormat="1" ht="12.75">
      <c r="C87" s="196"/>
      <c r="D87" s="479"/>
      <c r="G87" s="3"/>
    </row>
    <row r="88" ht="12.75">
      <c r="G88" s="4"/>
    </row>
    <row r="89" ht="12.75">
      <c r="G89" s="4"/>
    </row>
    <row r="90" ht="12.75">
      <c r="G90" s="4"/>
    </row>
    <row r="91" ht="12.75">
      <c r="G91" s="4"/>
    </row>
    <row r="92" ht="12.75">
      <c r="G92" s="4"/>
    </row>
  </sheetData>
  <sheetProtection/>
  <mergeCells count="1">
    <mergeCell ref="A86:C8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4.57421875" style="2" customWidth="1"/>
    <col min="2" max="2" width="21.28125" style="2" customWidth="1"/>
    <col min="3" max="3" width="52.7109375" style="2" customWidth="1"/>
    <col min="4" max="4" width="18.7109375" style="2" customWidth="1"/>
    <col min="5" max="5" width="8.8515625" style="2" customWidth="1"/>
    <col min="6" max="6" width="16.00390625" style="2" customWidth="1"/>
    <col min="7" max="16384" width="9.140625" style="2" customWidth="1"/>
  </cols>
  <sheetData/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IKawalkiewicz</dc:creator>
  <cp:keywords/>
  <dc:description/>
  <cp:lastModifiedBy>IKawalkiewicz</cp:lastModifiedBy>
  <cp:lastPrinted>2015-11-17T12:21:49Z</cp:lastPrinted>
  <dcterms:created xsi:type="dcterms:W3CDTF">2009-03-04T08:33:11Z</dcterms:created>
  <dcterms:modified xsi:type="dcterms:W3CDTF">2015-11-17T12:34:26Z</dcterms:modified>
  <cp:category/>
  <cp:version/>
  <cp:contentType/>
  <cp:contentStatus/>
</cp:coreProperties>
</file>