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  RM nr z 16.XII.2015." sheetId="1" r:id="rId1"/>
    <sheet name="Zał. nr 1" sheetId="2" r:id="rId2"/>
    <sheet name="Zał. nr 2" sheetId="3" r:id="rId3"/>
    <sheet name="Zał. nr 3" sheetId="4" r:id="rId4"/>
    <sheet name="Wolny" sheetId="5" r:id="rId5"/>
  </sheets>
  <definedNames>
    <definedName name="_xlnm.Print_Titles" localSheetId="1">'Zał. nr 1'!$10:$12</definedName>
    <definedName name="_xlnm.Print_Titles" localSheetId="2">'Zał. nr 2'!$12:$12</definedName>
    <definedName name="_xlnm.Print_Titles" localSheetId="3">'Zał. nr 3'!$13:$13</definedName>
  </definedNames>
  <calcPr fullCalcOnLoad="1"/>
</workbook>
</file>

<file path=xl/sharedStrings.xml><?xml version="1.0" encoding="utf-8"?>
<sst xmlns="http://schemas.openxmlformats.org/spreadsheetml/2006/main" count="769" uniqueCount="471">
  <si>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</si>
  <si>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</si>
  <si>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</si>
  <si>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</si>
  <si>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</si>
  <si>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</si>
  <si>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</si>
  <si>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</si>
  <si>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</si>
  <si>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</si>
  <si>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</si>
  <si>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</si>
  <si>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</si>
  <si>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Dział</t>
  </si>
  <si>
    <t>Rezerwa celowa na inwestycje i zakupy inwestycyjne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</si>
  <si>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</si>
  <si>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</si>
  <si>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</si>
  <si>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</si>
  <si>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</si>
  <si>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</si>
  <si>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</si>
  <si>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</si>
  <si>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</si>
  <si>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</si>
  <si>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</si>
  <si>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</si>
  <si>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</si>
  <si>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</si>
  <si>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</si>
  <si>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</si>
  <si>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</si>
  <si>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</si>
  <si>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</si>
  <si>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</si>
  <si>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</si>
  <si>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</si>
  <si>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</si>
  <si>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</si>
  <si>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</si>
  <si>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</si>
  <si>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</si>
  <si>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</si>
  <si>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</si>
  <si>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</si>
  <si>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</si>
  <si>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</si>
  <si>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</si>
  <si>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</si>
  <si>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</si>
  <si>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</si>
  <si>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>6. W Załączniku Nr 2 do uchwały budżetowej dokonuje się następujących zmian:</t>
  </si>
  <si>
    <t xml:space="preserve"> (Dz. U. z 2013  poz. 885 ze zm.)   R a d a    M i a s t a   K o n i n a   u c h w a l a,  co następuje "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</si>
  <si>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</si>
  <si>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</si>
  <si>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t xml:space="preserve">miasta Konina na 2015 rok zmienionej  zarządzeniami w sprawie zmian w budżecie miasta Konina </t>
  </si>
  <si>
    <t xml:space="preserve">na 2015 rok:  Nr 11/2015 Prezydenta Miasta Konina z dnia 29 stycznia 2015 r.; Nr  17 /2015 Prezydenta Miasta  </t>
  </si>
  <si>
    <t>W części dotyczącej dochodów  powiatu</t>
  </si>
  <si>
    <t xml:space="preserve">         2) dochody powiatu ogółem                                                                                  </t>
  </si>
  <si>
    <t>3. W Załączniku Nr 1 do uchwały budżetowej dokonuje się następujących zmian:</t>
  </si>
  <si>
    <t>Miasta Konina z dnia 26 lutego 2015 r.; Nr 30/2015 Prezydenta Miasta Konina z dnia 13 marca 2015 r.;</t>
  </si>
  <si>
    <t>Uzbrojenie terenów inwestycyjnych w obrębie Konin-Międzylesie</t>
  </si>
  <si>
    <t>Budowa odwodnienia terenu przyległego do boiska przy Gimnazjum nr 3 w Koninie</t>
  </si>
  <si>
    <t xml:space="preserve">Konina z dnia 12  lutego 2015 r.; Nr 40 Rady Miasta Konina z dnia 25 lutego 2015 r.; Nr 28/2015 Prezydenta </t>
  </si>
  <si>
    <t xml:space="preserve">zaliczanych do sektora finansów publicznych na cele publiczne związane z realizacją </t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</si>
  <si>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</si>
  <si>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4210</t>
  </si>
  <si>
    <t>758</t>
  </si>
  <si>
    <t>801</t>
  </si>
  <si>
    <t>80101</t>
  </si>
  <si>
    <t>900</t>
  </si>
  <si>
    <t>4010</t>
  </si>
  <si>
    <t>4110</t>
  </si>
  <si>
    <t>4120</t>
  </si>
  <si>
    <t>ZAŁĄCZNIK nr 1</t>
  </si>
  <si>
    <t>Rady  Miasta Konina</t>
  </si>
  <si>
    <t xml:space="preserve">Plan wydatków majątkowych realizowanych ze środków </t>
  </si>
  <si>
    <t>budżetowych miasta Konina na 2015 rok</t>
  </si>
  <si>
    <t>w złotych</t>
  </si>
  <si>
    <t xml:space="preserve">           Plan na 2015 rok</t>
  </si>
  <si>
    <t>Lp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</si>
  <si>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</si>
  <si>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</si>
  <si>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</si>
  <si>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</si>
  <si>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</si>
  <si>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</si>
  <si>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</si>
  <si>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</si>
  <si>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</si>
  <si>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</si>
  <si>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Gospodarka mieszkaniowa</t>
  </si>
  <si>
    <t>Gospodarka gruntami i nieruchomościami</t>
  </si>
  <si>
    <t>Nabycie nieruchomości gruntowych</t>
  </si>
  <si>
    <t>Pozostała działalność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</si>
  <si>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</si>
  <si>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Administracja publiczna</t>
  </si>
  <si>
    <t>Urzędy gmin (miast i miast na prawach powiatu)</t>
  </si>
  <si>
    <t>Rozbudowa miejskiej sieci szerokopasmowej KoMAN</t>
  </si>
  <si>
    <t>Modernizacja systemu klimatyzacyjnego w pomieszczeniach I piętra budynku UM przy Pl. Wolności 1</t>
  </si>
  <si>
    <t>Doposażenie techniczne urzędu</t>
  </si>
  <si>
    <t>Bezpieczeństwo publiczne i ochrona przeciwpożarowa</t>
  </si>
  <si>
    <t>Ochotnicze Straże Pożarne</t>
  </si>
  <si>
    <t xml:space="preserve">Zakupy inwestycyjne </t>
  </si>
  <si>
    <t>Dotacja celowa na zakup zestawu hydraulicznego dla OSP Konin-Chorzeń</t>
  </si>
  <si>
    <t>Obrona cywilna</t>
  </si>
  <si>
    <t>Różne rozliczenia</t>
  </si>
  <si>
    <t>Rezerwy ogólne i celowe</t>
  </si>
  <si>
    <t>Oświata i wychowanie</t>
  </si>
  <si>
    <t>Szkoły podstawowe</t>
  </si>
  <si>
    <t>Centrum nauki pływania i rehabilitacji wodnej (KBO)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</si>
  <si>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</si>
  <si>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</si>
  <si>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</si>
  <si>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</si>
  <si>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 kserokopiarki dla SP Nr 1</t>
  </si>
  <si>
    <t>Przedszkola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</si>
  <si>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</si>
  <si>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</si>
  <si>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</si>
  <si>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</si>
  <si>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</si>
  <si>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</si>
  <si>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Gimnazja</t>
  </si>
  <si>
    <t>Budowa zespołu boisk przy Gimnazjum Nr 7 w Koninie</t>
  </si>
  <si>
    <t>Stołówki szkolne i przedszkolne</t>
  </si>
  <si>
    <t>Zakup piekarnika do kuchni dla SP Nr 1</t>
  </si>
  <si>
    <t>Zakup lodówko-zamrażarki dla SP Nr 8</t>
  </si>
  <si>
    <t>Zakup robota wielofukcyjnego typu "Wilk" dla SP Nr 8</t>
  </si>
  <si>
    <t>Pozostałe zadania w zakresie polityki społecznej</t>
  </si>
  <si>
    <t xml:space="preserve">Pozostała działalność </t>
  </si>
  <si>
    <t>Program Wspierania Przedsiębiorczości w Koninie na lata 2014-2016 (wniesienie wkładu)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</si>
  <si>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</si>
  <si>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</si>
  <si>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</si>
  <si>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Budowa ogrodzenia wokół schroniska dla bezdomnych zwierząt przy ul. Gajowej w Koninie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</si>
  <si>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</si>
  <si>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</si>
  <si>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</si>
  <si>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</si>
  <si>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</si>
  <si>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</si>
  <si>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</si>
  <si>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</si>
  <si>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budowę kanalizacji sanitarnej i sieci wodociągowej w Koninie w ulicy Mazowieckiej - os. Łężyn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</si>
  <si>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</si>
  <si>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</si>
  <si>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</si>
  <si>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</si>
  <si>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</si>
  <si>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</si>
  <si>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</si>
  <si>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</si>
  <si>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</si>
  <si>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Budowa placu zabaw na terenie zieleni miejskiej przy ul. Kolejowej 8 i Energetyka 2A w Koninie</t>
  </si>
  <si>
    <t>Zwalczanie komarów - wieże lęgowe dla jerzyków (KBO)</t>
  </si>
  <si>
    <t>Ustawienie betonowych stołów do ping-ponga na Chorzniu oraz na II i III osiedlu (KBO)</t>
  </si>
  <si>
    <t>Kolorowa ściana – „Dobra” Instalacja (KBO)</t>
  </si>
  <si>
    <t>Opracowanie dokumentacji projektowo-kosztorysowej na budowę kanalizacji deszczowej przy ul. Spółdzielców w Koninie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</si>
  <si>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</si>
  <si>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</si>
  <si>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</si>
  <si>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</si>
  <si>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</si>
  <si>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Wykonanie i montaż szafy do Bookcrossingu (KBO)</t>
  </si>
  <si>
    <t xml:space="preserve">Kultura fizyczna </t>
  </si>
  <si>
    <t>Obiekty sportowe</t>
  </si>
  <si>
    <t>RAZEM POWIAT</t>
  </si>
  <si>
    <t>Drogi publiczne wojewódzkie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</si>
  <si>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</si>
  <si>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</si>
  <si>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</si>
  <si>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Przebudowa ul. Kościuszki wraz z oświetleniem i odwodnieniem - etap I</t>
  </si>
  <si>
    <t>Wykonanie bezpiecznego przejścia dla pieszych przez ul. Europejską w okolicach ul. Wierzbowej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</si>
  <si>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</si>
  <si>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</si>
  <si>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Turystyka</t>
  </si>
  <si>
    <t>Budowa budynku usług publicznych przy ul. Z. Urbanowskiej w Koninie</t>
  </si>
  <si>
    <t>Działalność usługowa</t>
  </si>
  <si>
    <t>Ośrodki dokumentacji geodezyjnej i kartograficznej</t>
  </si>
  <si>
    <t xml:space="preserve">Zakup sprzętu komputerowego </t>
  </si>
  <si>
    <t>Komendy powiatowe Policji</t>
  </si>
  <si>
    <t>Dofinansowanie zakupu radiowozów oznakowanych i nieoznakowanego dla KMP w Koninie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</si>
  <si>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</si>
  <si>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</si>
  <si>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</si>
  <si>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Zakup serwera dla II LO w Koninie</t>
  </si>
  <si>
    <t>Zakup kserokopiarki dla II LO w Koninie</t>
  </si>
  <si>
    <t>Zakup urządzenia wielofunkcyjnego do frezowania tafli lodowiska dla ZS im.  M.Kopernika w Koninie</t>
  </si>
  <si>
    <t>Szkoły zawodowe</t>
  </si>
  <si>
    <t>Zakup serwera dla ZSB w Koninie</t>
  </si>
  <si>
    <t>Zakup serwera dla ZSTiH w Koninie</t>
  </si>
  <si>
    <t>Zakup zmywarki dla II LO w Koninie</t>
  </si>
  <si>
    <t>Pomoc społeczna</t>
  </si>
  <si>
    <t>Domy pomocy społecznej</t>
  </si>
  <si>
    <t>Zakup łóżka kąpielowego oraz szorowarki dla DPS w Koninie</t>
  </si>
  <si>
    <t>Edukacyjna opieka wychowawcza</t>
  </si>
  <si>
    <t>Specjalne ośrodki szkolno-wychowawcze</t>
  </si>
  <si>
    <t>Zakup serwera dla SOS-W w Koninie</t>
  </si>
  <si>
    <t xml:space="preserve">do Uchwały nr  </t>
  </si>
  <si>
    <t>Poradnie przychologiczno-pedagogiczne w tym poradnie specjalistyczne</t>
  </si>
  <si>
    <t>Schroniska dla zwierząt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</si>
  <si>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</si>
  <si>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</si>
  <si>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>Instytucje kultury fizycznej</t>
  </si>
  <si>
    <t xml:space="preserve">Zakupy inwestycyjne dla MOS i R w Koninie </t>
  </si>
  <si>
    <t>Samoobsługowe stacje naprawy rowerów (KBO)</t>
  </si>
  <si>
    <t>Zakup urządzenia EEGBiofeedback wersja Nexus 4</t>
  </si>
  <si>
    <t>Zakup obieraczki do ziemniaków dla Przedszkola nr 16</t>
  </si>
  <si>
    <t>Projekt</t>
  </si>
  <si>
    <t>Opracowanie dokumnetacji projektowo-kosztorysowej na budowę ul. Grójeckiej w Koninie</t>
  </si>
  <si>
    <t>Zakup maty do gry w badmintona</t>
  </si>
  <si>
    <t>Wykonanie oświetlenia awaryjno-ewakuacyjnego w budynku Przedszkola nr 8 w Koninie</t>
  </si>
  <si>
    <t xml:space="preserve">Budowa toalety przy ul. Szpitalnej 60 w Koninie
</t>
  </si>
  <si>
    <t>Wyposażenie klatki schodowej w urzadzenia  służące do usuwania dymu w budynku Przedszkola nr 2</t>
  </si>
  <si>
    <t xml:space="preserve">Miasta Konina z dnia 23 kwietnia 2015 r.; Nr 98 Rady Miasta Konina z dnia 29 kwietnia 2015 r.; Nr 60/2015 </t>
  </si>
  <si>
    <t xml:space="preserve">Prezydenta Miasta Konina z dnia 7 maja 2015 r.; Nr  68/2015 Prezydenta Miasta Konina z dnia </t>
  </si>
  <si>
    <t xml:space="preserve">21 maja 2015 r.; Nr 110 Rady Miasta Konina z dnia 27 maja 2015 r.; Nr  72/2015 Prezydenta Miasta Konina </t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</si>
  <si>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zmian:</t>
    </r>
  </si>
  <si>
    <t>80148</t>
  </si>
  <si>
    <t>75818</t>
  </si>
  <si>
    <t>4810</t>
  </si>
  <si>
    <t>Aktualizacja dokumentacji projektowo kosztorysowej  na przebudowę ulicy Rumiankowej w Koninie</t>
  </si>
  <si>
    <t>Przebudowa ulicy Rumiankowej w Koninie</t>
  </si>
  <si>
    <t xml:space="preserve">Wykonanie awaryjnego oświetlenia ewakuacyjnego w Przedszkolu nr 6   w Koninie
</t>
  </si>
  <si>
    <t>Zagospodarowanie terenu do gier sportowych przy ul. Szerokiej w Pątnowie</t>
  </si>
  <si>
    <t>Przebudowa ulicy Romana Dmowskiego w Koninie</t>
  </si>
  <si>
    <t xml:space="preserve">Wykonanie Audytu Bezpieczeństwa Ruchu Drogowego i opracowanie studium wykonalności inwestycji pn. rozbudowa skrzyżowania ulicy Warszawskiej z ulicą Kolską w Koninie </t>
  </si>
  <si>
    <t>Budowa kanalizacji deszczowej przy ul. Spółdzielców w Koninie</t>
  </si>
  <si>
    <t>Zakup platformy niezbędnej do przewozu specjalistycznego sprzętu dla Komendy Miejskiej Państwowej Straży Pożarnej w Koninie</t>
  </si>
  <si>
    <t xml:space="preserve">z dnia 28 maja 2015 r.;  Nr 78/2015 Prezydenta Miasta Konina z dnia 11 czerwca 2015 r.; Nr 134 Rady Miasta  </t>
  </si>
  <si>
    <t>Konina z dnia 24 czerwca 2015 r.; Nr 86/2015 Prezydenta Miasta Konina z dnia 25 czerwca 2015 r.;</t>
  </si>
  <si>
    <t xml:space="preserve">Nr 92/2015 Prezydenta Miasta Konina z dnia 10 lipca 2015 r.;  Nr 150 Rady Miasta Konina z dnia 20 lipca </t>
  </si>
  <si>
    <r>
      <t>2015 r.; Nr 99/2015 Prezydenta Miasta Konina z dnia 24 lipca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104/2015 Prezydenta Miasta</t>
    </r>
  </si>
  <si>
    <t>Pozoatała działalność</t>
  </si>
  <si>
    <t>Zakup ringu bokserskiego</t>
  </si>
  <si>
    <t xml:space="preserve"> - kwotę środków i dotacji na realizację zadań w ramach</t>
  </si>
  <si>
    <t>programów i projektów funduszy strukturalnych</t>
  </si>
  <si>
    <t>Rewitalizacja i zagospodarowanie Domu Zemełki oraz przeznaczenie go na potrzeby Centrum Organizacji Pozarządowych - inwentaryzacja wielobranżowa obiektu</t>
  </si>
  <si>
    <r>
      <t>Nr 69 Rady Miasta Konina z dnia 25 marca 2015 r.</t>
    </r>
    <r>
      <rPr>
        <sz val="12"/>
        <rFont val="Times New Roman CE"/>
        <family val="1"/>
      </rPr>
      <t xml:space="preserve">; Nr 40/2015 Prezydenta Miasta Konina z dnia </t>
    </r>
  </si>
  <si>
    <r>
      <t>26 marca 2015 r.; Nr  47/2015 Prezydenta Miasta Konina z dnia 10 kwietnia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52/2015 Prezydenta </t>
    </r>
  </si>
  <si>
    <t>Konina z dnia 6 sierpnia 2015 r.; Nr 157 Rady Miasta Konina z dnia 10 sierpnia 2015 r.;</t>
  </si>
  <si>
    <t xml:space="preserve"> Nr 113/2015 Prezydenta Miasta Konina z dnia 31 sierpnia 2015 r.;  Nr 159 Rady Miasta Konina z dnia</t>
  </si>
  <si>
    <t xml:space="preserve">11 września 2015 r.; Nr 121/2015 Prezydenta Miasta Konina z dnia 17 września 2015 r.;   </t>
  </si>
  <si>
    <t>854</t>
  </si>
  <si>
    <t>85401</t>
  </si>
  <si>
    <t>0970</t>
  </si>
  <si>
    <t>80104</t>
  </si>
  <si>
    <t>0830</t>
  </si>
  <si>
    <t>(Dz. U. z 2015 r. poz. 1515), art. 211 ustawy z dnia 27 sierpnia 2009 r. o finansach  publicznych</t>
  </si>
  <si>
    <t>853</t>
  </si>
  <si>
    <t>85395</t>
  </si>
  <si>
    <t>4280</t>
  </si>
  <si>
    <t>4410</t>
  </si>
  <si>
    <t>0750</t>
  </si>
  <si>
    <t>Wyposażenie drogi ewakuacyjnej w awaryjne oświetlenie ewakuacyjne w Przedszkolu nr 17</t>
  </si>
  <si>
    <t xml:space="preserve">Rehabilitacja zawodowa i społeczna osób niepełnosprawnych </t>
  </si>
  <si>
    <t>90095</t>
  </si>
  <si>
    <t>4700</t>
  </si>
  <si>
    <t>Zakup schodołazu do budynku Centrum Informacji Miejskiej</t>
  </si>
  <si>
    <t xml:space="preserve">Zakup i montaż wiat przystankowych  </t>
  </si>
  <si>
    <t>Lokalny transport zbiorowy</t>
  </si>
  <si>
    <t xml:space="preserve">Zmniejsza się plan wydatków o kwotę </t>
  </si>
  <si>
    <t>6800</t>
  </si>
  <si>
    <t>pkt 3) kwotę rezerwy celowej na inwestycje i zakupy inwestycyjne</t>
  </si>
  <si>
    <t xml:space="preserve"> Nr 128/2015 Prezydenta Miasta Konina z dnia 8 października 2015 r.; Nr 130/2015 Prezydenta Miasta Konina</t>
  </si>
  <si>
    <t xml:space="preserve"> z dnia 22 października 2015 r.; Nr 198 Rady Miasta Konina z dnia 28 października 2015 r.; Nr 133/2015 </t>
  </si>
  <si>
    <t>0920</t>
  </si>
  <si>
    <t>2007</t>
  </si>
  <si>
    <t>4300</t>
  </si>
  <si>
    <t>6060</t>
  </si>
  <si>
    <t>Zakup sprzętu komputerowego, kserograficznego i drukującego</t>
  </si>
  <si>
    <t>750</t>
  </si>
  <si>
    <t>75023</t>
  </si>
  <si>
    <t>80110</t>
  </si>
  <si>
    <t>80120</t>
  </si>
  <si>
    <t>80130</t>
  </si>
  <si>
    <t>852</t>
  </si>
  <si>
    <t>4260</t>
  </si>
  <si>
    <t>4270</t>
  </si>
  <si>
    <t>4360</t>
  </si>
  <si>
    <t>6050</t>
  </si>
  <si>
    <t>85202</t>
  </si>
  <si>
    <t>4220</t>
  </si>
  <si>
    <t>4430</t>
  </si>
  <si>
    <t>3020</t>
  </si>
  <si>
    <t>4440</t>
  </si>
  <si>
    <t>4240</t>
  </si>
  <si>
    <t>4390</t>
  </si>
  <si>
    <t>80150</t>
  </si>
  <si>
    <t>Budowa oświetlenia ul. Jeziornej i Okólnej w Koninie - etap I</t>
  </si>
  <si>
    <t>600</t>
  </si>
  <si>
    <t>60015</t>
  </si>
  <si>
    <t>Instalacja monitoringu i systemu alarmowego w budynku Miejskiego Ośrodka Pomocy Rodzinie w Koninie</t>
  </si>
  <si>
    <t>Ośrodki pomocy społecznej</t>
  </si>
  <si>
    <t>dz. 758  rozdz.75818  § 6800   zwiększa się o kwotę</t>
  </si>
  <si>
    <t xml:space="preserve">        "Ustala się kwotę wydatków na ochronę środowiska związanych z realizacją ustawy </t>
  </si>
  <si>
    <t xml:space="preserve">      Prawo ochrony środowiska z tego:</t>
  </si>
  <si>
    <t xml:space="preserve">         a)      wydatki bieżące  </t>
  </si>
  <si>
    <t>(dz.900)</t>
  </si>
  <si>
    <t xml:space="preserve">         b)      wydatki majątkowe  </t>
  </si>
  <si>
    <t>8. W § 1  ust. 4 otrzymuje brzmienie w treści:</t>
  </si>
  <si>
    <t xml:space="preserve">         w tym:</t>
  </si>
  <si>
    <t>pkt 2)  kwotę rezerwy celowej oświatowej</t>
  </si>
  <si>
    <t>85406</t>
  </si>
  <si>
    <t>75020</t>
  </si>
  <si>
    <t>4380</t>
  </si>
  <si>
    <t>60016</t>
  </si>
  <si>
    <t>75075</t>
  </si>
  <si>
    <t>921</t>
  </si>
  <si>
    <t>92195</t>
  </si>
  <si>
    <t>926</t>
  </si>
  <si>
    <t>92604</t>
  </si>
  <si>
    <t>4170</t>
  </si>
  <si>
    <t xml:space="preserve">Zakup infrastruktury oświetlenia ulicznego zlokalizowanej przy ul. Grójeckiej i ul. Strażackiej w Koninie
</t>
  </si>
  <si>
    <t xml:space="preserve">Prezydenta Miasta Konina z dnia 29 października 2015 r.; Nr 138/2015 Prezydenta Miasta Konina </t>
  </si>
  <si>
    <t>Program Wspierania Przedsiębiorczości w Koninie na lata 2014-2016 - Koncepcja utworzenia Parku Przemysłowo -Technologicznego</t>
  </si>
  <si>
    <t>b) kwotę części powiatowej</t>
  </si>
  <si>
    <t xml:space="preserve">                                     UCHWAŁA  NR  </t>
  </si>
  <si>
    <t xml:space="preserve">                                     z dnia  16 grudnia  2015 roku</t>
  </si>
  <si>
    <t xml:space="preserve">z dnia 12 listopada 2015 r.; Nr  217   Rady Miasta Konina z dnia 25 listopada 2015 r.; Nr 154/2015 </t>
  </si>
  <si>
    <r>
      <t xml:space="preserve">Prezydenta Miasta Konina z dnia 27 listopada 2015 r.   </t>
    </r>
    <r>
      <rPr>
        <b/>
        <sz val="12"/>
        <rFont val="Times New Roman"/>
        <family val="1"/>
      </rPr>
      <t>- wprowadza się następujące zmiany:</t>
    </r>
  </si>
  <si>
    <t>dz. 900  rozdz.90095  § 6050   zmniejsza się o kwotę</t>
  </si>
  <si>
    <t>Budowa odwodnienia terenu przyległego do boiska</t>
  </si>
  <si>
    <t xml:space="preserve"> przy Gimnazjum nr 3 w Koninie</t>
  </si>
  <si>
    <t>80195</t>
  </si>
  <si>
    <t>80140</t>
  </si>
  <si>
    <t>0690</t>
  </si>
  <si>
    <t>4520</t>
  </si>
  <si>
    <t>85324</t>
  </si>
  <si>
    <t>85218</t>
  </si>
  <si>
    <t>92116</t>
  </si>
  <si>
    <t>2480</t>
  </si>
  <si>
    <t>85212</t>
  </si>
  <si>
    <t>4610</t>
  </si>
  <si>
    <t>85219</t>
  </si>
  <si>
    <t>4040</t>
  </si>
  <si>
    <t>dz. 852  rozdz.85219  § 6060   zwiększa się o kwotę</t>
  </si>
  <si>
    <t>Zakup serwera  dla potrzeb MOPR w Koninie</t>
  </si>
  <si>
    <t>z dnia 16 grudnia 2015 roku</t>
  </si>
  <si>
    <t>4140</t>
  </si>
  <si>
    <t>85417</t>
  </si>
  <si>
    <t>80102</t>
  </si>
  <si>
    <t>80111</t>
  </si>
  <si>
    <t>80134</t>
  </si>
  <si>
    <t>80144</t>
  </si>
  <si>
    <t>3110</t>
  </si>
  <si>
    <t>85403</t>
  </si>
  <si>
    <t>4480</t>
  </si>
  <si>
    <t>2540</t>
  </si>
  <si>
    <t>85214</t>
  </si>
  <si>
    <t>2030</t>
  </si>
  <si>
    <t>85216</t>
  </si>
  <si>
    <t>85204</t>
  </si>
  <si>
    <t>4330</t>
  </si>
  <si>
    <t>75801</t>
  </si>
  <si>
    <t>2920</t>
  </si>
  <si>
    <t>700</t>
  </si>
  <si>
    <t>70005</t>
  </si>
  <si>
    <t>75814</t>
  </si>
  <si>
    <t>60095</t>
  </si>
  <si>
    <t>2460</t>
  </si>
  <si>
    <t xml:space="preserve">PLAN  DOTACJI DLA PODMIOTÓW NIE ZALICZANYCH DO SEKTORA </t>
  </si>
  <si>
    <t xml:space="preserve">FINANSÓW PUBLICZNYCH NA CELE PUBLICZNE ZWIĄZANE Z REALIZACJĄ </t>
  </si>
  <si>
    <t>ZADAŃ MIASTA  NA 2015 ROK</t>
  </si>
  <si>
    <t>Wyszczególnienie</t>
  </si>
  <si>
    <t xml:space="preserve">Określenie zadań </t>
  </si>
  <si>
    <t>Plan na 2015 rok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</si>
  <si>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</si>
  <si>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</si>
  <si>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</si>
  <si>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</si>
  <si>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</si>
  <si>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dotacja dla niepublicznego przedszkola  rozdz. 80149</t>
  </si>
  <si>
    <t>Dotacje celowe</t>
  </si>
  <si>
    <t>wyposażenie szkół w podręczniki, materiały edukacyjne lub materiały ćwiczeniowe rozdz. 80101</t>
  </si>
  <si>
    <t>wyposażenie szkół w podręczniki, materiały edukacyjne lub materiały ćwiczeniowe rozdz. 80110</t>
  </si>
  <si>
    <t>Ochrona zdrowia</t>
  </si>
  <si>
    <t>prowadzenie Punktu Konsultacyjnego dla osób i rodzin dotkniętych problemem narkotykowym</t>
  </si>
  <si>
    <t>prowadzenie świetlic środowiskowych z dożywianiem</t>
  </si>
  <si>
    <t xml:space="preserve">realizacja programu zapobiegania i przeciwdziałania przemocy w rodzinie "Bezpieczeństwo w rodzinie" i "Dzieciństwo bez przemocy" 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</si>
  <si>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</si>
  <si>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</si>
  <si>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</si>
  <si>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</si>
  <si>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</si>
  <si>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</si>
  <si>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</si>
  <si>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</si>
  <si>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</si>
  <si>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</si>
  <si>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</si>
  <si>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 xml:space="preserve">prowadzenie Środowiskowego Domu Samopomocy  dla Osób z Upośledzeniem Umysłowym </t>
  </si>
  <si>
    <t>dotacja celowa dla niepublicznego żłobka</t>
  </si>
  <si>
    <t>dotacja celowa dla 2 klubów dziecięcych</t>
  </si>
  <si>
    <t>dotacja celowa dla niepublicznego klubu dziecięcego</t>
  </si>
  <si>
    <t>Wspieranie realizacji zadań organizacji pozarządowych</t>
  </si>
  <si>
    <t>realizacja zadania pn.: "Ja też mam super wakacje"</t>
  </si>
  <si>
    <t>działalność wspomagająca rozwój wspólnot i społeczności lokalnych</t>
  </si>
  <si>
    <t xml:space="preserve">„PI  Wsparcie rozwoju narzędzi związanych z kontraktowaniem usług społecznych w Koninie” w ramach programu POKL (dotacja celowa)  </t>
  </si>
  <si>
    <t>PWP - Działalność na rzecz rozwoju gospodarczego wspierająca lokalny rynek pracy</t>
  </si>
  <si>
    <t>Gospodarka komunalna                         i ochrona środowiska</t>
  </si>
  <si>
    <t>prowadzenie schroniska dla zwierząt, realizacja Programu opieki nad zwierzętami bezdomnymi oraz zapobieganie bezdomności zwierząt na terenie miasta Konina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</si>
  <si>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</si>
  <si>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</si>
  <si>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</si>
  <si>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</si>
  <si>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 xml:space="preserve"> remont rzeźby „Chrystus na krzyżu”   Parafia pw. Św. Andrzeja Apostoła w Koninie – Gosławicach 
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</si>
  <si>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</si>
  <si>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</si>
  <si>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</si>
  <si>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</si>
  <si>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</si>
  <si>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</si>
  <si>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</si>
  <si>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</si>
  <si>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</si>
  <si>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</si>
  <si>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dotacja dla publicznego liceum ogólnokształcącego rozdz. 80150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</si>
  <si>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</si>
  <si>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</si>
  <si>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</si>
  <si>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</si>
  <si>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</si>
  <si>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</si>
  <si>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</si>
  <si>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>OGÓŁEM</t>
  </si>
  <si>
    <t xml:space="preserve">PLAN  DOTACJI  DLA  PODMIOTÓW  ZALICZANYCH  DO  SEKTORA 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</si>
  <si>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</si>
  <si>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</si>
  <si>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</si>
  <si>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</si>
  <si>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</si>
  <si>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</si>
  <si>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>Gospodarka komunalna  i ochrona środowiska</t>
  </si>
  <si>
    <t>Miejska Biblioteka Publiczna</t>
  </si>
  <si>
    <t>dotacja celowa do Samorządu Województwa Wielkopolskiego na wypłatę odszkodowań za grunty przejęte  pod realizację zadania  pn. "Budowa drogi - łącznik od ul. Przemysłowej do ul. Kleczewskiej w Koninie"</t>
  </si>
  <si>
    <t>realizacja zadania publicznego pn.: Koordynacja Szlaku Piastowskiego na terenie Województwa Wielkopolskiego</t>
  </si>
  <si>
    <t>koszty  kształcenia ucznia na terenie innej jst</t>
  </si>
  <si>
    <t>koszty utrzymania dzieci z miasta Konina umieszczonych w  rodzinach zastepczych na terenie kraju</t>
  </si>
  <si>
    <t>prowadzenie działalności Powiatowego Urzędu Pracy</t>
  </si>
  <si>
    <t>ZAŁĄCZNIK nr 2</t>
  </si>
  <si>
    <t>z dnia 16 grudnia  2015 roku</t>
  </si>
  <si>
    <t>ZAŁĄCZNIK  nr 3</t>
  </si>
  <si>
    <t>(dz. 600; 700; 758; 900 i 921)"</t>
  </si>
  <si>
    <t>75802</t>
  </si>
  <si>
    <t>2760</t>
  </si>
  <si>
    <t xml:space="preserve">Druk nr 259 </t>
  </si>
  <si>
    <t>W Uchwale nr 198 Rady Miasta Konina z dnia 28 października 2015 roku</t>
  </si>
  <si>
    <t>w sprawie zamina w budżecie miasta Konina na 2015 rok prostuje się błąd pisarski</t>
  </si>
  <si>
    <t>jest § 6050 a winien być § 6060.</t>
  </si>
  <si>
    <t xml:space="preserve">                                                                               § 4</t>
  </si>
  <si>
    <t>851</t>
  </si>
  <si>
    <t>85156</t>
  </si>
  <si>
    <t>4130</t>
  </si>
  <si>
    <t>0580</t>
  </si>
  <si>
    <t>756</t>
  </si>
  <si>
    <t>75618</t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</si>
  <si>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</si>
  <si>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t xml:space="preserve">FINANSÓW PUBLICZNYCH NA CELE PUBLICZNE ZWIĄZANE </t>
  </si>
  <si>
    <t>Z REALIZACJĄ ZADAŃ MIASTA  NA 2015 ROK</t>
  </si>
  <si>
    <t>2130</t>
  </si>
  <si>
    <t>0960</t>
  </si>
  <si>
    <t>w § 1 ust. 7 w części dotyczącej zadań powiatu w dz 853 rozdz.85311</t>
  </si>
  <si>
    <t>4. W § 1 ust. 3</t>
  </si>
  <si>
    <t>5. W Załączniku Nr 2 do uchwały budżetowej dokonuje się następujących zmian:</t>
  </si>
  <si>
    <t>7. W § 1  ust. 4 otrzymuje brzmienie w treści:</t>
  </si>
  <si>
    <t>8. W § 1  w ust. 5</t>
  </si>
  <si>
    <r>
      <t xml:space="preserve">9. Załącznik nr 11 do uchwały budżetowej obejmujący  </t>
    </r>
    <r>
      <rPr>
        <i/>
        <sz val="13"/>
        <rFont val="Times New Roman"/>
        <family val="1"/>
      </rPr>
      <t>"Plan dotacji dla podmiotów  nie</t>
    </r>
  </si>
  <si>
    <r>
      <t xml:space="preserve">10. Załącznik nr 12 do uchwały budżetowej obejmujący  </t>
    </r>
    <r>
      <rPr>
        <i/>
        <sz val="13"/>
        <rFont val="Times New Roman"/>
        <family val="1"/>
      </rPr>
      <t xml:space="preserve">"Plan dotacji dla podmiotów  </t>
    </r>
  </si>
  <si>
    <t>11. W § 4 do uchwały budżetowej dokonuje się następujących zmian: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</si>
</sst>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8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i/>
      <sz val="13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i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i/>
      <sz val="16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2"/>
      <name val="Times New Roman CE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8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8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615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27" fillId="0" borderId="0" xfId="55" applyNumberFormat="1" applyFont="1" applyFill="1">
      <alignment/>
      <protection/>
    </xf>
    <xf numFmtId="49" fontId="27" fillId="0" borderId="0" xfId="55" applyNumberFormat="1" applyFont="1" applyFill="1" applyAlignment="1">
      <alignment horizontal="center"/>
      <protection/>
    </xf>
    <xf numFmtId="0" fontId="27" fillId="0" borderId="0" xfId="0" applyFont="1" applyFill="1" applyAlignment="1">
      <alignment horizontal="left"/>
    </xf>
    <xf numFmtId="0" fontId="27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8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8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7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3" fillId="0" borderId="0" xfId="56" applyNumberFormat="1" applyFont="1" applyFill="1">
      <alignment/>
      <protection/>
    </xf>
    <xf numFmtId="49" fontId="23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26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0" fontId="22" fillId="0" borderId="0" xfId="52" applyFont="1" applyFill="1">
      <alignment/>
      <protection/>
    </xf>
    <xf numFmtId="4" fontId="23" fillId="0" borderId="0" xfId="52" applyNumberFormat="1" applyFont="1" applyFill="1" applyBorder="1" applyAlignment="1">
      <alignment vertical="center"/>
      <protection/>
    </xf>
    <xf numFmtId="49" fontId="9" fillId="0" borderId="0" xfId="0" applyNumberFormat="1" applyFont="1" applyFill="1" applyAlignment="1">
      <alignment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53" applyFont="1" applyFill="1" applyAlignment="1">
      <alignment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0" fontId="25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4" fontId="32" fillId="0" borderId="0" xfId="53" applyNumberFormat="1" applyFont="1" applyFill="1" applyAlignment="1">
      <alignment horizontal="right" vertical="center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4" fontId="5" fillId="0" borderId="13" xfId="52" applyNumberFormat="1" applyFont="1" applyFill="1" applyBorder="1" applyAlignment="1">
      <alignment horizontal="right" vertical="top"/>
      <protection/>
    </xf>
    <xf numFmtId="0" fontId="33" fillId="0" borderId="0" xfId="0" applyFont="1" applyFill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1" fillId="0" borderId="0" xfId="52" applyNumberFormat="1" applyFont="1" applyFill="1" applyBorder="1" applyAlignment="1">
      <alignment vertical="center"/>
      <protection/>
    </xf>
    <xf numFmtId="49" fontId="3" fillId="0" borderId="0" xfId="53" applyNumberFormat="1" applyFont="1" applyFill="1" applyAlignment="1">
      <alignment horizontal="center"/>
      <protection/>
    </xf>
    <xf numFmtId="0" fontId="3" fillId="0" borderId="0" xfId="52" applyFont="1" applyFill="1" applyAlignment="1">
      <alignment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" fontId="3" fillId="0" borderId="18" xfId="52" applyNumberFormat="1" applyFont="1" applyFill="1" applyBorder="1" applyAlignment="1">
      <alignment horizontal="right" vertical="top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3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4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4" fontId="38" fillId="0" borderId="21" xfId="0" applyNumberFormat="1" applyFont="1" applyFill="1" applyBorder="1" applyAlignment="1">
      <alignment vertical="center"/>
    </xf>
    <xf numFmtId="4" fontId="39" fillId="0" borderId="0" xfId="0" applyNumberFormat="1" applyFont="1" applyFill="1" applyAlignment="1">
      <alignment/>
    </xf>
    <xf numFmtId="4" fontId="39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4" fontId="38" fillId="0" borderId="10" xfId="0" applyNumberFormat="1" applyFont="1" applyFill="1" applyBorder="1" applyAlignment="1">
      <alignment vertical="center"/>
    </xf>
    <xf numFmtId="4" fontId="38" fillId="0" borderId="13" xfId="0" applyNumberFormat="1" applyFont="1" applyFill="1" applyBorder="1" applyAlignment="1">
      <alignment vertical="center"/>
    </xf>
    <xf numFmtId="4" fontId="40" fillId="0" borderId="0" xfId="0" applyNumberFormat="1" applyFont="1" applyFill="1" applyAlignment="1">
      <alignment/>
    </xf>
    <xf numFmtId="4" fontId="40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7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 wrapText="1"/>
    </xf>
    <xf numFmtId="4" fontId="38" fillId="0" borderId="13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 wrapText="1"/>
    </xf>
    <xf numFmtId="4" fontId="38" fillId="0" borderId="21" xfId="0" applyNumberFormat="1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vertical="center" wrapText="1"/>
    </xf>
    <xf numFmtId="4" fontId="37" fillId="0" borderId="21" xfId="0" applyNumberFormat="1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24" fillId="0" borderId="13" xfId="52" applyFont="1" applyFill="1" applyBorder="1" applyAlignment="1">
      <alignment vertical="center" wrapText="1"/>
      <protection/>
    </xf>
    <xf numFmtId="4" fontId="24" fillId="0" borderId="23" xfId="0" applyNumberFormat="1" applyFont="1" applyFill="1" applyBorder="1" applyAlignment="1">
      <alignment vertical="center" wrapText="1"/>
    </xf>
    <xf numFmtId="0" fontId="38" fillId="0" borderId="22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4" fontId="24" fillId="0" borderId="21" xfId="0" applyNumberFormat="1" applyFont="1" applyFill="1" applyBorder="1" applyAlignment="1">
      <alignment vertical="center" wrapText="1"/>
    </xf>
    <xf numFmtId="4" fontId="24" fillId="0" borderId="12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4" fontId="24" fillId="0" borderId="10" xfId="52" applyNumberFormat="1" applyFont="1" applyFill="1" applyBorder="1" applyAlignment="1">
      <alignment vertical="center"/>
      <protection/>
    </xf>
    <xf numFmtId="4" fontId="24" fillId="0" borderId="13" xfId="52" applyNumberFormat="1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0" xfId="52" applyNumberFormat="1" applyFont="1" applyFill="1" applyBorder="1" applyAlignment="1">
      <alignment vertical="center"/>
      <protection/>
    </xf>
    <xf numFmtId="4" fontId="37" fillId="0" borderId="13" xfId="52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33" fillId="0" borderId="21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24" fillId="0" borderId="10" xfId="52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24" fillId="0" borderId="20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12" fillId="0" borderId="13" xfId="0" applyFont="1" applyFill="1" applyBorder="1" applyAlignment="1">
      <alignment vertical="center"/>
    </xf>
    <xf numFmtId="0" fontId="38" fillId="0" borderId="10" xfId="52" applyFont="1" applyFill="1" applyBorder="1" applyAlignment="1">
      <alignment vertical="center" wrapText="1"/>
      <protection/>
    </xf>
    <xf numFmtId="4" fontId="38" fillId="0" borderId="10" xfId="52" applyNumberFormat="1" applyFont="1" applyFill="1" applyBorder="1" applyAlignment="1">
      <alignment vertical="center" wrapText="1"/>
      <protection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7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0" xfId="52" applyFont="1" applyFill="1" applyBorder="1" applyAlignment="1">
      <alignment vertical="center" wrapText="1"/>
      <protection/>
    </xf>
    <xf numFmtId="4" fontId="37" fillId="0" borderId="10" xfId="52" applyNumberFormat="1" applyFont="1" applyFill="1" applyBorder="1" applyAlignment="1">
      <alignment vertical="center" wrapText="1"/>
      <protection/>
    </xf>
    <xf numFmtId="4" fontId="37" fillId="0" borderId="13" xfId="52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7" fillId="0" borderId="13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 wrapText="1"/>
    </xf>
    <xf numFmtId="4" fontId="38" fillId="0" borderId="10" xfId="52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/>
    </xf>
    <xf numFmtId="49" fontId="24" fillId="0" borderId="11" xfId="52" applyNumberFormat="1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52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3" xfId="52" applyFont="1" applyFill="1" applyBorder="1" applyAlignment="1">
      <alignment vertical="center" wrapText="1"/>
      <protection/>
    </xf>
    <xf numFmtId="4" fontId="38" fillId="0" borderId="13" xfId="52" applyNumberFormat="1" applyFont="1" applyFill="1" applyBorder="1" applyAlignment="1">
      <alignment vertical="center" wrapText="1"/>
      <protection/>
    </xf>
    <xf numFmtId="0" fontId="43" fillId="0" borderId="0" xfId="0" applyFont="1" applyFill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4" fontId="24" fillId="0" borderId="10" xfId="52" applyNumberFormat="1" applyFont="1" applyFill="1" applyBorder="1" applyAlignment="1">
      <alignment vertical="center" wrapText="1"/>
      <protection/>
    </xf>
    <xf numFmtId="4" fontId="24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38" fillId="0" borderId="2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" fontId="38" fillId="0" borderId="23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/>
    </xf>
    <xf numFmtId="0" fontId="22" fillId="0" borderId="2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wrapText="1"/>
    </xf>
    <xf numFmtId="0" fontId="24" fillId="0" borderId="21" xfId="52" applyFont="1" applyFill="1" applyBorder="1" applyAlignment="1">
      <alignment vertical="center" wrapText="1"/>
      <protection/>
    </xf>
    <xf numFmtId="0" fontId="47" fillId="0" borderId="0" xfId="52" applyFont="1" applyFill="1" applyAlignment="1">
      <alignment horizontal="left"/>
      <protection/>
    </xf>
    <xf numFmtId="0" fontId="31" fillId="0" borderId="0" xfId="0" applyFont="1" applyFill="1" applyAlignment="1">
      <alignment/>
    </xf>
    <xf numFmtId="0" fontId="47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 horizontal="left"/>
      <protection/>
    </xf>
    <xf numFmtId="4" fontId="41" fillId="0" borderId="0" xfId="0" applyNumberFormat="1" applyFont="1" applyFill="1" applyBorder="1" applyAlignment="1">
      <alignment/>
    </xf>
    <xf numFmtId="0" fontId="37" fillId="0" borderId="22" xfId="52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9" fontId="5" fillId="0" borderId="23" xfId="52" applyNumberFormat="1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0" fontId="9" fillId="0" borderId="0" xfId="52" applyFont="1" applyFill="1" applyAlignment="1">
      <alignment horizontal="center"/>
      <protection/>
    </xf>
    <xf numFmtId="0" fontId="31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24" fillId="0" borderId="14" xfId="0" applyFont="1" applyFill="1" applyBorder="1" applyAlignment="1">
      <alignment vertical="center" wrapText="1"/>
    </xf>
    <xf numFmtId="0" fontId="24" fillId="0" borderId="22" xfId="52" applyFont="1" applyFill="1" applyBorder="1" applyAlignment="1">
      <alignment vertical="center" wrapText="1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38" fillId="0" borderId="13" xfId="52" applyNumberFormat="1" applyFont="1" applyFill="1" applyBorder="1" applyAlignment="1">
      <alignment vertical="center"/>
      <protection/>
    </xf>
    <xf numFmtId="49" fontId="29" fillId="0" borderId="0" xfId="52" applyNumberFormat="1" applyFont="1" applyFill="1">
      <alignment/>
      <protection/>
    </xf>
    <xf numFmtId="4" fontId="35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 vertical="center"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38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52" applyNumberFormat="1" applyFont="1" applyFill="1" applyBorder="1" applyAlignment="1">
      <alignment horizontal="center" vertical="center"/>
      <protection/>
    </xf>
    <xf numFmtId="4" fontId="17" fillId="0" borderId="0" xfId="52" applyNumberFormat="1" applyFont="1" applyFill="1" applyBorder="1" applyAlignment="1">
      <alignment vertical="center"/>
      <protection/>
    </xf>
    <xf numFmtId="4" fontId="15" fillId="0" borderId="0" xfId="52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>
      <alignment/>
      <protection/>
    </xf>
    <xf numFmtId="4" fontId="5" fillId="0" borderId="0" xfId="53" applyNumberFormat="1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49" fontId="5" fillId="0" borderId="15" xfId="52" applyNumberFormat="1" applyFont="1" applyFill="1" applyBorder="1" applyAlignment="1">
      <alignment horizontal="center"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" fontId="24" fillId="0" borderId="23" xfId="52" applyNumberFormat="1" applyFont="1" applyFill="1" applyBorder="1" applyAlignment="1">
      <alignment vertical="center"/>
      <protection/>
    </xf>
    <xf numFmtId="4" fontId="24" fillId="32" borderId="10" xfId="0" applyNumberFormat="1" applyFont="1" applyFill="1" applyBorder="1" applyAlignment="1">
      <alignment vertical="center" wrapText="1"/>
    </xf>
    <xf numFmtId="4" fontId="24" fillId="32" borderId="13" xfId="0" applyNumberFormat="1" applyFont="1" applyFill="1" applyBorder="1" applyAlignment="1">
      <alignment vertical="center" wrapText="1"/>
    </xf>
    <xf numFmtId="4" fontId="24" fillId="32" borderId="10" xfId="0" applyNumberFormat="1" applyFont="1" applyFill="1" applyBorder="1" applyAlignment="1">
      <alignment vertical="center"/>
    </xf>
    <xf numFmtId="4" fontId="24" fillId="32" borderId="13" xfId="0" applyNumberFormat="1" applyFont="1" applyFill="1" applyBorder="1" applyAlignment="1">
      <alignment vertical="center"/>
    </xf>
    <xf numFmtId="4" fontId="3" fillId="0" borderId="18" xfId="52" applyNumberFormat="1" applyFont="1" applyFill="1" applyBorder="1" applyAlignment="1">
      <alignment horizontal="right" vertical="center" wrapText="1"/>
      <protection/>
    </xf>
    <xf numFmtId="4" fontId="5" fillId="0" borderId="18" xfId="52" applyNumberFormat="1" applyFont="1" applyFill="1" applyBorder="1" applyAlignment="1">
      <alignment horizontal="right" vertical="center" wrapText="1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24" fillId="32" borderId="24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vertical="center" wrapText="1"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" fontId="3" fillId="0" borderId="18" xfId="52" applyNumberFormat="1" applyFont="1" applyFill="1" applyBorder="1" applyAlignment="1">
      <alignment horizontal="right" vertical="center"/>
      <protection/>
    </xf>
    <xf numFmtId="4" fontId="36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9" fillId="0" borderId="13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54" applyFont="1" applyFill="1" applyBorder="1" applyAlignment="1">
      <alignment horizontal="left" vertical="center" wrapText="1"/>
      <protection/>
    </xf>
    <xf numFmtId="0" fontId="38" fillId="0" borderId="13" xfId="0" applyFont="1" applyFill="1" applyBorder="1" applyAlignment="1">
      <alignment horizontal="left" vertical="center" wrapText="1"/>
    </xf>
    <xf numFmtId="0" fontId="24" fillId="0" borderId="13" xfId="54" applyFont="1" applyFill="1" applyBorder="1" applyAlignment="1">
      <alignment horizontal="left" vertical="center" wrapText="1"/>
      <protection/>
    </xf>
    <xf numFmtId="0" fontId="24" fillId="0" borderId="14" xfId="54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4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24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38" fillId="0" borderId="2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center" wrapText="1"/>
    </xf>
    <xf numFmtId="49" fontId="24" fillId="0" borderId="22" xfId="52" applyNumberFormat="1" applyFont="1" applyFill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4" fontId="3" fillId="32" borderId="13" xfId="0" applyNumberFormat="1" applyFont="1" applyFill="1" applyBorder="1" applyAlignment="1">
      <alignment vertical="center"/>
    </xf>
    <xf numFmtId="49" fontId="9" fillId="0" borderId="16" xfId="52" applyNumberFormat="1" applyFont="1" applyFill="1" applyBorder="1">
      <alignment/>
      <protection/>
    </xf>
    <xf numFmtId="49" fontId="9" fillId="0" borderId="17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 vertical="center"/>
      <protection/>
    </xf>
    <xf numFmtId="49" fontId="9" fillId="0" borderId="14" xfId="55" applyNumberFormat="1" applyFont="1" applyFill="1" applyBorder="1">
      <alignment/>
      <protection/>
    </xf>
    <xf numFmtId="49" fontId="5" fillId="0" borderId="13" xfId="52" applyNumberFormat="1" applyFont="1" applyFill="1" applyBorder="1" applyAlignment="1">
      <alignment vertical="center"/>
      <protection/>
    </xf>
    <xf numFmtId="49" fontId="20" fillId="0" borderId="13" xfId="52" applyNumberFormat="1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vertical="center"/>
      <protection/>
    </xf>
    <xf numFmtId="4" fontId="3" fillId="0" borderId="14" xfId="52" applyNumberFormat="1" applyFont="1" applyFill="1" applyBorder="1" applyAlignment="1">
      <alignment horizontal="right"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9" xfId="52" applyNumberFormat="1" applyFont="1" applyFill="1" applyBorder="1" applyAlignment="1">
      <alignment horizontal="left" vertical="center"/>
      <protection/>
    </xf>
    <xf numFmtId="49" fontId="3" fillId="0" borderId="0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PMK lut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3"/>
  <sheetViews>
    <sheetView tabSelected="1" zoomScale="145" zoomScaleNormal="145" zoomScalePageLayoutView="0" workbookViewId="0" topLeftCell="A1">
      <selection activeCell="J9" sqref="J9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6.421875" style="401" customWidth="1"/>
    <col min="4" max="4" width="15.28125" style="2" customWidth="1"/>
    <col min="5" max="6" width="15.57421875" style="2" customWidth="1"/>
    <col min="7" max="7" width="15.140625" style="2" customWidth="1"/>
    <col min="8" max="8" width="21.57421875" style="24" customWidth="1"/>
    <col min="9" max="9" width="21.00390625" style="393" customWidth="1"/>
    <col min="10" max="10" width="21.8515625" style="393" customWidth="1"/>
    <col min="11" max="11" width="17.140625" style="409" customWidth="1"/>
    <col min="12" max="12" width="18.28125" style="393" customWidth="1"/>
    <col min="13" max="13" width="16.57421875" style="393" customWidth="1"/>
    <col min="14" max="14" width="9.140625" style="393" customWidth="1"/>
    <col min="15" max="15" width="16.140625" style="393" bestFit="1" customWidth="1"/>
    <col min="16" max="47" width="9.140625" style="393" customWidth="1"/>
    <col min="48" max="16384" width="9.140625" style="2" customWidth="1"/>
  </cols>
  <sheetData>
    <row r="1" spans="1:47" s="34" customFormat="1" ht="18.75" customHeight="1">
      <c r="A1" s="45" t="s">
        <v>318</v>
      </c>
      <c r="B1" s="46"/>
      <c r="C1" s="47"/>
      <c r="D1" s="5"/>
      <c r="E1" s="5"/>
      <c r="F1" s="5"/>
      <c r="G1" s="153" t="s">
        <v>447</v>
      </c>
      <c r="H1" s="145"/>
      <c r="I1" s="408"/>
      <c r="J1" s="408"/>
      <c r="K1" s="408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</row>
    <row r="2" spans="1:47" s="34" customFormat="1" ht="18.75" customHeight="1">
      <c r="A2" s="45" t="s">
        <v>17</v>
      </c>
      <c r="B2" s="46"/>
      <c r="C2" s="47"/>
      <c r="D2" s="5"/>
      <c r="E2" s="5"/>
      <c r="F2" s="5"/>
      <c r="G2" s="40"/>
      <c r="H2" s="158" t="s">
        <v>209</v>
      </c>
      <c r="I2" s="408"/>
      <c r="J2" s="408"/>
      <c r="K2" s="408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</row>
    <row r="3" spans="1:47" s="34" customFormat="1" ht="18" customHeight="1">
      <c r="A3" s="45" t="s">
        <v>319</v>
      </c>
      <c r="B3" s="46"/>
      <c r="C3" s="47"/>
      <c r="D3" s="5"/>
      <c r="E3" s="5"/>
      <c r="F3" s="5"/>
      <c r="G3" s="40"/>
      <c r="H3" s="42"/>
      <c r="I3" s="408"/>
      <c r="J3" s="408"/>
      <c r="K3" s="408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</row>
    <row r="4" spans="1:47" s="34" customFormat="1" ht="12.75" customHeight="1">
      <c r="A4" s="39"/>
      <c r="B4" s="40"/>
      <c r="C4" s="41"/>
      <c r="D4" s="40"/>
      <c r="E4" s="40"/>
      <c r="F4" s="40"/>
      <c r="G4" s="40"/>
      <c r="H4" s="42"/>
      <c r="I4" s="408"/>
      <c r="J4" s="408"/>
      <c r="K4" s="408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</row>
    <row r="5" spans="1:10" ht="12.75" customHeight="1">
      <c r="A5" s="23"/>
      <c r="B5" s="5"/>
      <c r="C5" s="6"/>
      <c r="D5" s="5"/>
      <c r="E5" s="5"/>
      <c r="F5" s="5"/>
      <c r="G5" s="5"/>
      <c r="H5" s="7"/>
      <c r="I5" s="409"/>
      <c r="J5" s="409"/>
    </row>
    <row r="6" spans="1:10" ht="24.75" customHeight="1">
      <c r="A6" s="23" t="s">
        <v>53</v>
      </c>
      <c r="B6" s="5"/>
      <c r="C6" s="6"/>
      <c r="D6" s="5"/>
      <c r="E6" s="5"/>
      <c r="F6" s="5"/>
      <c r="G6" s="5"/>
      <c r="H6" s="7"/>
      <c r="I6" s="409"/>
      <c r="J6" s="409"/>
    </row>
    <row r="7" spans="1:10" ht="15" customHeight="1">
      <c r="A7" s="23"/>
      <c r="B7" s="5"/>
      <c r="C7" s="6"/>
      <c r="D7" s="5"/>
      <c r="E7" s="5"/>
      <c r="F7" s="5"/>
      <c r="G7" s="5"/>
      <c r="H7" s="7"/>
      <c r="I7" s="409"/>
      <c r="J7" s="409"/>
    </row>
    <row r="8" spans="1:10" ht="18" customHeight="1">
      <c r="A8" s="5"/>
      <c r="B8" s="5"/>
      <c r="C8" s="6"/>
      <c r="D8" s="5"/>
      <c r="E8" s="5"/>
      <c r="F8" s="5"/>
      <c r="G8" s="5"/>
      <c r="H8" s="7"/>
      <c r="I8" s="409"/>
      <c r="J8" s="409"/>
    </row>
    <row r="9" spans="1:13" ht="16.5" customHeight="1">
      <c r="A9" s="48" t="s">
        <v>18</v>
      </c>
      <c r="B9" s="46"/>
      <c r="C9" s="47"/>
      <c r="D9" s="5"/>
      <c r="E9" s="5"/>
      <c r="F9" s="5"/>
      <c r="G9" s="5"/>
      <c r="H9" s="7"/>
      <c r="I9" s="409"/>
      <c r="J9" s="409"/>
      <c r="M9" s="409"/>
    </row>
    <row r="10" spans="1:10" ht="14.25" customHeight="1">
      <c r="A10" s="48" t="s">
        <v>249</v>
      </c>
      <c r="B10" s="46"/>
      <c r="C10" s="47"/>
      <c r="D10" s="5"/>
      <c r="E10" s="5"/>
      <c r="F10" s="5"/>
      <c r="G10" s="5"/>
      <c r="H10" s="7"/>
      <c r="I10" s="409"/>
      <c r="J10" s="409"/>
    </row>
    <row r="11" spans="1:10" ht="16.5" customHeight="1">
      <c r="A11" s="48" t="s">
        <v>52</v>
      </c>
      <c r="B11" s="46"/>
      <c r="C11" s="47"/>
      <c r="D11" s="5"/>
      <c r="E11" s="5"/>
      <c r="F11" s="5"/>
      <c r="G11" s="5"/>
      <c r="H11" s="7"/>
      <c r="I11" s="409"/>
      <c r="J11" s="409"/>
    </row>
    <row r="12" spans="1:10" ht="14.25" customHeight="1">
      <c r="A12" s="48"/>
      <c r="B12" s="46"/>
      <c r="C12" s="47"/>
      <c r="D12" s="5"/>
      <c r="E12" s="5"/>
      <c r="F12" s="5"/>
      <c r="G12" s="5"/>
      <c r="H12" s="7"/>
      <c r="I12" s="409"/>
      <c r="J12" s="409"/>
    </row>
    <row r="13" spans="1:10" ht="15" customHeight="1">
      <c r="A13" s="38"/>
      <c r="B13" s="31"/>
      <c r="C13" s="397"/>
      <c r="D13" s="16"/>
      <c r="E13" s="5"/>
      <c r="F13" s="5"/>
      <c r="G13" s="5"/>
      <c r="H13" s="7"/>
      <c r="I13" s="409"/>
      <c r="J13" s="409"/>
    </row>
    <row r="14" spans="1:47" s="28" customFormat="1" ht="15.75">
      <c r="A14" s="8"/>
      <c r="B14" s="8"/>
      <c r="C14" s="30"/>
      <c r="D14" s="8"/>
      <c r="E14" s="30" t="s">
        <v>4</v>
      </c>
      <c r="F14" s="8"/>
      <c r="G14" s="8"/>
      <c r="H14" s="9"/>
      <c r="I14" s="383"/>
      <c r="J14" s="383"/>
      <c r="K14" s="383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</row>
    <row r="15" spans="1:47" s="28" customFormat="1" ht="15.75">
      <c r="A15" s="8"/>
      <c r="B15" s="8"/>
      <c r="C15" s="30"/>
      <c r="D15" s="8"/>
      <c r="E15" s="30"/>
      <c r="F15" s="8"/>
      <c r="G15" s="8"/>
      <c r="H15" s="9"/>
      <c r="I15" s="383"/>
      <c r="J15" s="383"/>
      <c r="K15" s="383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</row>
    <row r="16" spans="1:47" s="28" customFormat="1" ht="15.75">
      <c r="A16" s="387" t="s">
        <v>54</v>
      </c>
      <c r="B16" s="388"/>
      <c r="C16" s="398"/>
      <c r="D16" s="388"/>
      <c r="E16" s="30"/>
      <c r="F16" s="8"/>
      <c r="G16" s="8"/>
      <c r="H16" s="9"/>
      <c r="I16" s="383"/>
      <c r="J16" s="383"/>
      <c r="K16" s="383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</row>
    <row r="17" spans="1:47" s="28" customFormat="1" ht="15.75">
      <c r="A17" s="389" t="s">
        <v>55</v>
      </c>
      <c r="B17" s="388"/>
      <c r="C17" s="398"/>
      <c r="D17" s="388"/>
      <c r="E17" s="30"/>
      <c r="F17" s="8"/>
      <c r="G17" s="8"/>
      <c r="H17" s="9"/>
      <c r="I17" s="383"/>
      <c r="J17" s="441"/>
      <c r="K17" s="383"/>
      <c r="L17" s="381"/>
      <c r="M17" s="383"/>
      <c r="N17" s="381"/>
      <c r="O17" s="383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</row>
    <row r="18" spans="1:47" s="28" customFormat="1" ht="15.75">
      <c r="A18" s="390" t="s">
        <v>56</v>
      </c>
      <c r="B18" s="8"/>
      <c r="C18" s="167"/>
      <c r="D18" s="8"/>
      <c r="E18" s="30"/>
      <c r="F18" s="8"/>
      <c r="G18" s="8"/>
      <c r="H18" s="9"/>
      <c r="I18" s="383"/>
      <c r="J18" s="441"/>
      <c r="K18" s="383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</row>
    <row r="19" spans="1:47" s="28" customFormat="1" ht="15.75">
      <c r="A19" s="35" t="s">
        <v>63</v>
      </c>
      <c r="B19" s="164"/>
      <c r="C19" s="165"/>
      <c r="D19" s="166"/>
      <c r="E19" s="166"/>
      <c r="F19" s="8"/>
      <c r="G19" s="8"/>
      <c r="H19" s="9"/>
      <c r="I19" s="383"/>
      <c r="J19" s="442"/>
      <c r="K19" s="383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</row>
    <row r="20" spans="1:47" s="28" customFormat="1" ht="15.75">
      <c r="A20" s="168" t="s">
        <v>60</v>
      </c>
      <c r="B20" s="31"/>
      <c r="C20" s="399"/>
      <c r="D20" s="15"/>
      <c r="E20" s="8"/>
      <c r="F20" s="8"/>
      <c r="G20" s="8"/>
      <c r="H20" s="9"/>
      <c r="I20" s="383"/>
      <c r="J20" s="441"/>
      <c r="K20" s="383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</row>
    <row r="21" spans="1:47" s="28" customFormat="1" ht="15.75">
      <c r="A21" s="168" t="s">
        <v>239</v>
      </c>
      <c r="B21" s="31"/>
      <c r="C21" s="399"/>
      <c r="D21" s="15"/>
      <c r="E21" s="8"/>
      <c r="F21" s="8"/>
      <c r="H21" s="1"/>
      <c r="I21" s="383"/>
      <c r="J21" s="441"/>
      <c r="K21" s="383"/>
      <c r="L21" s="383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</row>
    <row r="22" spans="1:47" s="28" customFormat="1" ht="15.75">
      <c r="A22" s="168" t="s">
        <v>240</v>
      </c>
      <c r="B22" s="31"/>
      <c r="C22" s="399"/>
      <c r="D22" s="15"/>
      <c r="E22" s="8"/>
      <c r="F22" s="8"/>
      <c r="H22" s="1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</row>
    <row r="23" spans="1:47" s="28" customFormat="1" ht="15" customHeight="1">
      <c r="A23" s="28" t="s">
        <v>215</v>
      </c>
      <c r="C23" s="400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</row>
    <row r="24" spans="1:47" s="28" customFormat="1" ht="15" customHeight="1">
      <c r="A24" s="28" t="s">
        <v>216</v>
      </c>
      <c r="B24" s="31"/>
      <c r="C24" s="399"/>
      <c r="D24" s="15"/>
      <c r="E24" s="8"/>
      <c r="I24" s="383"/>
      <c r="J24" s="443"/>
      <c r="K24" s="443"/>
      <c r="L24" s="443"/>
      <c r="M24" s="443"/>
      <c r="N24" s="383"/>
      <c r="O24" s="383"/>
      <c r="P24" s="383"/>
      <c r="Q24" s="383"/>
      <c r="R24" s="383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</row>
    <row r="25" spans="1:47" s="28" customFormat="1" ht="15" customHeight="1">
      <c r="A25" s="28" t="s">
        <v>217</v>
      </c>
      <c r="C25" s="400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</row>
    <row r="26" spans="1:47" s="28" customFormat="1" ht="15" customHeight="1">
      <c r="A26" s="28" t="s">
        <v>230</v>
      </c>
      <c r="C26" s="400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</row>
    <row r="27" spans="1:47" s="28" customFormat="1" ht="15" customHeight="1">
      <c r="A27" s="28" t="s">
        <v>231</v>
      </c>
      <c r="C27" s="400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</row>
    <row r="28" spans="1:18" ht="15" customHeight="1">
      <c r="A28" s="28" t="s">
        <v>232</v>
      </c>
      <c r="B28" s="28"/>
      <c r="C28" s="400"/>
      <c r="D28" s="28"/>
      <c r="E28" s="28"/>
      <c r="F28" s="28"/>
      <c r="G28" s="28"/>
      <c r="H28" s="28"/>
      <c r="I28" s="409"/>
      <c r="J28" s="443"/>
      <c r="K28" s="443"/>
      <c r="L28" s="443"/>
      <c r="M28" s="443"/>
      <c r="N28" s="409"/>
      <c r="O28" s="409"/>
      <c r="P28" s="409"/>
      <c r="Q28" s="409"/>
      <c r="R28" s="409"/>
    </row>
    <row r="29" spans="1:18" ht="15" customHeight="1">
      <c r="A29" s="28" t="s">
        <v>233</v>
      </c>
      <c r="B29" s="28"/>
      <c r="C29" s="400"/>
      <c r="D29" s="28"/>
      <c r="E29" s="28"/>
      <c r="F29" s="28"/>
      <c r="G29" s="28"/>
      <c r="H29" s="28"/>
      <c r="I29" s="409"/>
      <c r="J29" s="409"/>
      <c r="K29" s="383"/>
      <c r="L29" s="383"/>
      <c r="M29" s="383"/>
      <c r="N29" s="409"/>
      <c r="O29" s="409"/>
      <c r="P29" s="409"/>
      <c r="Q29" s="409"/>
      <c r="R29" s="409"/>
    </row>
    <row r="30" spans="1:18" ht="15" customHeight="1">
      <c r="A30" s="28" t="s">
        <v>241</v>
      </c>
      <c r="B30" s="28"/>
      <c r="C30" s="400"/>
      <c r="D30" s="28"/>
      <c r="E30" s="28"/>
      <c r="F30" s="28"/>
      <c r="G30" s="28"/>
      <c r="H30" s="28"/>
      <c r="I30" s="409"/>
      <c r="J30" s="409"/>
      <c r="L30" s="409"/>
      <c r="M30" s="409"/>
      <c r="N30" s="409"/>
      <c r="O30" s="409"/>
      <c r="P30" s="409"/>
      <c r="Q30" s="409"/>
      <c r="R30" s="409"/>
    </row>
    <row r="31" spans="1:18" ht="15" customHeight="1">
      <c r="A31" s="28" t="s">
        <v>242</v>
      </c>
      <c r="B31" s="28"/>
      <c r="C31" s="400"/>
      <c r="D31" s="28"/>
      <c r="E31" s="28"/>
      <c r="F31" s="28"/>
      <c r="G31" s="28"/>
      <c r="H31" s="28"/>
      <c r="I31" s="409"/>
      <c r="J31" s="409"/>
      <c r="L31" s="409"/>
      <c r="M31" s="409"/>
      <c r="N31" s="409"/>
      <c r="O31" s="409"/>
      <c r="P31" s="409"/>
      <c r="Q31" s="409"/>
      <c r="R31" s="409"/>
    </row>
    <row r="32" spans="1:18" ht="15" customHeight="1">
      <c r="A32" s="28" t="s">
        <v>243</v>
      </c>
      <c r="B32" s="28"/>
      <c r="C32" s="400"/>
      <c r="D32" s="28"/>
      <c r="E32" s="28"/>
      <c r="F32" s="28"/>
      <c r="G32" s="28"/>
      <c r="H32" s="28"/>
      <c r="I32" s="409"/>
      <c r="J32" s="409"/>
      <c r="L32" s="409"/>
      <c r="M32" s="409"/>
      <c r="N32" s="409"/>
      <c r="O32" s="409"/>
      <c r="P32" s="409"/>
      <c r="Q32" s="409"/>
      <c r="R32" s="409"/>
    </row>
    <row r="33" spans="1:18" ht="15" customHeight="1">
      <c r="A33" s="28" t="s">
        <v>265</v>
      </c>
      <c r="B33" s="28"/>
      <c r="C33" s="400"/>
      <c r="D33" s="28"/>
      <c r="E33" s="28"/>
      <c r="F33" s="28"/>
      <c r="G33" s="28"/>
      <c r="H33" s="28"/>
      <c r="I33" s="409"/>
      <c r="J33" s="409"/>
      <c r="L33" s="409"/>
      <c r="M33" s="409"/>
      <c r="N33" s="409"/>
      <c r="O33" s="409"/>
      <c r="P33" s="409"/>
      <c r="Q33" s="409"/>
      <c r="R33" s="409"/>
    </row>
    <row r="34" spans="1:18" ht="15" customHeight="1">
      <c r="A34" s="28" t="s">
        <v>266</v>
      </c>
      <c r="I34" s="409"/>
      <c r="J34" s="409"/>
      <c r="L34" s="409"/>
      <c r="M34" s="409"/>
      <c r="N34" s="409"/>
      <c r="O34" s="409"/>
      <c r="P34" s="409"/>
      <c r="Q34" s="409"/>
      <c r="R34" s="409"/>
    </row>
    <row r="35" spans="1:18" ht="15" customHeight="1">
      <c r="A35" s="28" t="s">
        <v>315</v>
      </c>
      <c r="I35" s="409"/>
      <c r="J35" s="409"/>
      <c r="L35" s="409"/>
      <c r="M35" s="409"/>
      <c r="N35" s="409"/>
      <c r="O35" s="409"/>
      <c r="P35" s="409"/>
      <c r="Q35" s="409"/>
      <c r="R35" s="409"/>
    </row>
    <row r="36" spans="1:18" ht="15" customHeight="1">
      <c r="A36" s="28" t="s">
        <v>320</v>
      </c>
      <c r="I36" s="409"/>
      <c r="J36" s="409"/>
      <c r="L36" s="409"/>
      <c r="M36" s="409"/>
      <c r="N36" s="409"/>
      <c r="O36" s="409"/>
      <c r="P36" s="409"/>
      <c r="Q36" s="409"/>
      <c r="R36" s="409"/>
    </row>
    <row r="37" spans="1:18" ht="15" customHeight="1">
      <c r="A37" s="28" t="s">
        <v>321</v>
      </c>
      <c r="B37" s="31"/>
      <c r="C37" s="16"/>
      <c r="D37" s="16"/>
      <c r="E37" s="5"/>
      <c r="I37" s="409"/>
      <c r="J37" s="409"/>
      <c r="L37" s="409"/>
      <c r="M37" s="409"/>
      <c r="N37" s="409"/>
      <c r="O37" s="409"/>
      <c r="P37" s="409"/>
      <c r="Q37" s="409"/>
      <c r="R37" s="409"/>
    </row>
    <row r="38" spans="1:18" ht="15" customHeight="1">
      <c r="A38" s="28"/>
      <c r="I38" s="409"/>
      <c r="J38" s="409"/>
      <c r="L38" s="409"/>
      <c r="M38" s="409"/>
      <c r="N38" s="409"/>
      <c r="O38" s="409"/>
      <c r="P38" s="409"/>
      <c r="Q38" s="409"/>
      <c r="R38" s="409"/>
    </row>
    <row r="39" spans="9:18" ht="15" customHeight="1">
      <c r="I39" s="409"/>
      <c r="J39" s="409"/>
      <c r="L39" s="409"/>
      <c r="M39" s="409"/>
      <c r="N39" s="409"/>
      <c r="O39" s="409"/>
      <c r="P39" s="409"/>
      <c r="Q39" s="409"/>
      <c r="R39" s="409"/>
    </row>
    <row r="40" spans="1:18" ht="18.75">
      <c r="A40" s="50" t="s">
        <v>19</v>
      </c>
      <c r="B40" s="49"/>
      <c r="C40" s="402"/>
      <c r="I40" s="409"/>
      <c r="J40" s="409"/>
      <c r="L40" s="409"/>
      <c r="M40" s="409"/>
      <c r="N40" s="409"/>
      <c r="O40" s="409"/>
      <c r="P40" s="409"/>
      <c r="Q40" s="409"/>
      <c r="R40" s="409"/>
    </row>
    <row r="41" spans="1:18" ht="15.75">
      <c r="A41" s="51"/>
      <c r="B41" s="52"/>
      <c r="C41" s="403"/>
      <c r="D41" s="26"/>
      <c r="E41" s="26"/>
      <c r="F41" s="53"/>
      <c r="H41" s="53"/>
      <c r="I41" s="409"/>
      <c r="J41" s="409"/>
      <c r="L41" s="409"/>
      <c r="M41" s="409"/>
      <c r="N41" s="409"/>
      <c r="O41" s="409"/>
      <c r="P41" s="409"/>
      <c r="Q41" s="409"/>
      <c r="R41" s="409"/>
    </row>
    <row r="42" spans="1:18" ht="15.75">
      <c r="A42" s="51" t="s">
        <v>20</v>
      </c>
      <c r="B42" s="52"/>
      <c r="C42" s="403"/>
      <c r="D42" s="26"/>
      <c r="E42" s="26"/>
      <c r="F42" s="53"/>
      <c r="G42" s="4"/>
      <c r="H42" s="53">
        <f>H46+H57</f>
        <v>428463865.77</v>
      </c>
      <c r="I42" s="409"/>
      <c r="J42" s="409"/>
      <c r="L42" s="409"/>
      <c r="M42" s="409"/>
      <c r="N42" s="409"/>
      <c r="O42" s="409"/>
      <c r="P42" s="409"/>
      <c r="Q42" s="409"/>
      <c r="R42" s="409"/>
    </row>
    <row r="43" spans="1:10" ht="15.75">
      <c r="A43" s="51" t="s">
        <v>21</v>
      </c>
      <c r="B43" s="52"/>
      <c r="C43" s="403"/>
      <c r="D43" s="26"/>
      <c r="E43" s="26"/>
      <c r="F43" s="53"/>
      <c r="G43" s="4"/>
      <c r="H43" s="53">
        <f>H47+H58</f>
        <v>428206325.52</v>
      </c>
      <c r="I43" s="409"/>
      <c r="J43" s="409"/>
    </row>
    <row r="44" spans="1:10" ht="15.75">
      <c r="A44" s="54" t="s">
        <v>22</v>
      </c>
      <c r="B44" s="55"/>
      <c r="C44" s="404"/>
      <c r="D44" s="26"/>
      <c r="E44" s="26"/>
      <c r="F44" s="53"/>
      <c r="H44" s="53"/>
      <c r="I44" s="409"/>
      <c r="J44" s="409"/>
    </row>
    <row r="45" spans="1:10" ht="15.75">
      <c r="A45" s="54"/>
      <c r="B45" s="55"/>
      <c r="C45" s="404"/>
      <c r="D45" s="26"/>
      <c r="E45" s="26"/>
      <c r="F45" s="53"/>
      <c r="H45" s="53"/>
      <c r="I45" s="409"/>
      <c r="J45" s="428"/>
    </row>
    <row r="46" spans="1:10" ht="15.75">
      <c r="A46" s="51" t="s">
        <v>50</v>
      </c>
      <c r="B46" s="52"/>
      <c r="C46" s="403"/>
      <c r="D46" s="56"/>
      <c r="E46" s="26"/>
      <c r="F46" s="1"/>
      <c r="H46" s="53">
        <v>314013589.67</v>
      </c>
      <c r="I46" s="409"/>
      <c r="J46" s="409"/>
    </row>
    <row r="47" spans="1:10" ht="15.75">
      <c r="A47" s="51" t="s">
        <v>21</v>
      </c>
      <c r="B47" s="52"/>
      <c r="C47" s="403"/>
      <c r="D47" s="56"/>
      <c r="E47" s="26"/>
      <c r="F47" s="1"/>
      <c r="H47" s="53">
        <f>H46-D90+F90</f>
        <v>313636199.42</v>
      </c>
      <c r="I47" s="409"/>
      <c r="J47" s="409"/>
    </row>
    <row r="48" spans="1:9" ht="15.75">
      <c r="A48" s="54"/>
      <c r="B48" s="49" t="s">
        <v>23</v>
      </c>
      <c r="C48" s="404"/>
      <c r="D48" s="26"/>
      <c r="E48" s="26"/>
      <c r="F48" s="1"/>
      <c r="H48" s="53"/>
      <c r="I48" s="409"/>
    </row>
    <row r="49" spans="1:8" ht="15.75">
      <c r="A49" s="57" t="s">
        <v>24</v>
      </c>
      <c r="B49" s="52"/>
      <c r="C49" s="403"/>
      <c r="D49" s="26"/>
      <c r="E49" s="26"/>
      <c r="F49" s="1"/>
      <c r="H49" s="53">
        <f>290503482.57</f>
        <v>290503482.57</v>
      </c>
    </row>
    <row r="50" spans="1:10" ht="15.75">
      <c r="A50" s="57" t="s">
        <v>21</v>
      </c>
      <c r="B50" s="52"/>
      <c r="C50" s="403"/>
      <c r="D50" s="26"/>
      <c r="E50" s="26"/>
      <c r="F50" s="1"/>
      <c r="H50" s="53">
        <f>H49-D90+F90</f>
        <v>290126092.32</v>
      </c>
      <c r="I50" s="409"/>
      <c r="J50" s="409"/>
    </row>
    <row r="51" spans="1:8" ht="15.75">
      <c r="A51" s="57"/>
      <c r="B51" s="55" t="s">
        <v>2</v>
      </c>
      <c r="C51" s="403"/>
      <c r="D51" s="26"/>
      <c r="E51" s="26"/>
      <c r="F51" s="1"/>
      <c r="H51" s="53"/>
    </row>
    <row r="52" spans="1:8" ht="15.75">
      <c r="A52" s="57"/>
      <c r="B52" s="143" t="s">
        <v>236</v>
      </c>
      <c r="C52" s="403"/>
      <c r="D52" s="26"/>
      <c r="E52" s="26"/>
      <c r="F52" s="1"/>
      <c r="H52" s="53"/>
    </row>
    <row r="53" spans="1:8" ht="15.75">
      <c r="A53" s="57"/>
      <c r="B53" s="143" t="s">
        <v>237</v>
      </c>
      <c r="C53" s="404"/>
      <c r="D53" s="26"/>
      <c r="E53" s="26"/>
      <c r="F53" s="1"/>
      <c r="H53" s="1">
        <v>1478264.62</v>
      </c>
    </row>
    <row r="54" spans="1:10" ht="15.75">
      <c r="A54" s="57"/>
      <c r="B54" s="58" t="s">
        <v>25</v>
      </c>
      <c r="C54" s="403"/>
      <c r="D54" s="26"/>
      <c r="E54" s="26"/>
      <c r="F54" s="1"/>
      <c r="H54" s="1">
        <f>H53+F85</f>
        <v>1699683.37</v>
      </c>
      <c r="I54" s="409"/>
      <c r="J54" s="409"/>
    </row>
    <row r="55" spans="1:10" ht="15.75">
      <c r="A55" s="57"/>
      <c r="B55" s="58"/>
      <c r="C55" s="403"/>
      <c r="D55" s="26"/>
      <c r="E55" s="26"/>
      <c r="F55" s="1"/>
      <c r="H55" s="1"/>
      <c r="I55" s="409"/>
      <c r="J55" s="409"/>
    </row>
    <row r="56" spans="1:8" ht="15.75">
      <c r="A56" s="57"/>
      <c r="B56" s="58"/>
      <c r="C56" s="403"/>
      <c r="D56" s="26"/>
      <c r="E56" s="26"/>
      <c r="F56" s="1"/>
      <c r="H56" s="1"/>
    </row>
    <row r="57" spans="1:8" ht="15.75">
      <c r="A57" s="51" t="s">
        <v>58</v>
      </c>
      <c r="B57" s="52"/>
      <c r="C57" s="403"/>
      <c r="D57" s="56"/>
      <c r="E57" s="26"/>
      <c r="F57" s="1"/>
      <c r="H57" s="53">
        <v>114450276.1</v>
      </c>
    </row>
    <row r="58" spans="1:10" ht="15.75">
      <c r="A58" s="51" t="s">
        <v>21</v>
      </c>
      <c r="B58" s="52"/>
      <c r="C58" s="403"/>
      <c r="D58" s="56"/>
      <c r="E58" s="26"/>
      <c r="F58" s="1"/>
      <c r="H58" s="53">
        <f>H57-D115+F115</f>
        <v>114570126.1</v>
      </c>
      <c r="I58" s="409"/>
      <c r="J58" s="409"/>
    </row>
    <row r="59" spans="1:8" ht="15.75">
      <c r="A59" s="54"/>
      <c r="B59" s="49" t="s">
        <v>23</v>
      </c>
      <c r="C59" s="404"/>
      <c r="D59" s="26"/>
      <c r="E59" s="26"/>
      <c r="F59" s="1"/>
      <c r="H59" s="53"/>
    </row>
    <row r="60" spans="1:8" ht="15.75">
      <c r="A60" s="57" t="s">
        <v>24</v>
      </c>
      <c r="B60" s="52"/>
      <c r="C60" s="403"/>
      <c r="D60" s="26"/>
      <c r="E60" s="26"/>
      <c r="F60" s="1"/>
      <c r="H60" s="53">
        <v>113905304.1</v>
      </c>
    </row>
    <row r="61" spans="1:10" ht="15.75">
      <c r="A61" s="57" t="s">
        <v>21</v>
      </c>
      <c r="B61" s="52"/>
      <c r="C61" s="403"/>
      <c r="D61" s="26"/>
      <c r="E61" s="26"/>
      <c r="F61" s="1"/>
      <c r="H61" s="53">
        <f>H60-D115+F115</f>
        <v>114025154.1</v>
      </c>
      <c r="I61" s="409"/>
      <c r="J61" s="409"/>
    </row>
    <row r="62" spans="1:8" ht="15.75">
      <c r="A62" s="57"/>
      <c r="B62" s="58"/>
      <c r="C62" s="403"/>
      <c r="D62" s="26"/>
      <c r="E62" s="26"/>
      <c r="F62" s="1"/>
      <c r="H62" s="1"/>
    </row>
    <row r="63" spans="1:8" ht="15.75">
      <c r="A63" s="57"/>
      <c r="B63" s="58"/>
      <c r="C63" s="403"/>
      <c r="D63" s="26"/>
      <c r="E63" s="26"/>
      <c r="F63" s="1"/>
      <c r="H63" s="1"/>
    </row>
    <row r="64" spans="1:8" ht="19.5">
      <c r="A64" s="61" t="s">
        <v>49</v>
      </c>
      <c r="B64" s="62"/>
      <c r="C64" s="63"/>
      <c r="D64" s="64"/>
      <c r="E64" s="64"/>
      <c r="F64" s="65"/>
      <c r="G64" s="65"/>
      <c r="H64" s="66"/>
    </row>
    <row r="65" spans="1:8" ht="19.5">
      <c r="A65" s="61"/>
      <c r="B65" s="62"/>
      <c r="C65" s="63"/>
      <c r="D65" s="64"/>
      <c r="E65" s="64"/>
      <c r="F65" s="65"/>
      <c r="G65" s="65"/>
      <c r="H65" s="66"/>
    </row>
    <row r="66" spans="1:7" ht="18.75">
      <c r="A66" s="70" t="s">
        <v>48</v>
      </c>
      <c r="B66" s="71"/>
      <c r="C66" s="72"/>
      <c r="D66" s="60"/>
      <c r="E66" s="60"/>
      <c r="F66" s="69"/>
      <c r="G66" s="69"/>
    </row>
    <row r="67" spans="1:7" ht="18.75">
      <c r="A67" s="67"/>
      <c r="B67" s="67"/>
      <c r="C67" s="68"/>
      <c r="D67" s="60"/>
      <c r="E67" s="60"/>
      <c r="F67" s="69"/>
      <c r="G67" s="69"/>
    </row>
    <row r="68" spans="1:7" ht="18.75">
      <c r="A68" s="73"/>
      <c r="B68" s="73"/>
      <c r="C68" s="74"/>
      <c r="D68" s="10" t="s">
        <v>26</v>
      </c>
      <c r="E68" s="11"/>
      <c r="F68" s="10" t="s">
        <v>27</v>
      </c>
      <c r="G68" s="11"/>
    </row>
    <row r="69" spans="1:7" ht="15" customHeight="1">
      <c r="A69" s="75"/>
      <c r="B69" s="75"/>
      <c r="C69" s="76"/>
      <c r="D69" s="12" t="s">
        <v>3</v>
      </c>
      <c r="E69" s="11" t="s">
        <v>2</v>
      </c>
      <c r="F69" s="12" t="s">
        <v>3</v>
      </c>
      <c r="G69" s="11" t="s">
        <v>2</v>
      </c>
    </row>
    <row r="70" spans="1:7" ht="21">
      <c r="A70" s="77" t="s">
        <v>5</v>
      </c>
      <c r="B70" s="77" t="s">
        <v>11</v>
      </c>
      <c r="C70" s="77" t="s">
        <v>6</v>
      </c>
      <c r="D70" s="13" t="s">
        <v>7</v>
      </c>
      <c r="E70" s="14" t="s">
        <v>8</v>
      </c>
      <c r="F70" s="13" t="s">
        <v>7</v>
      </c>
      <c r="G70" s="14" t="s">
        <v>8</v>
      </c>
    </row>
    <row r="71" spans="1:47" s="33" customFormat="1" ht="20.25" customHeight="1">
      <c r="A71" s="78" t="s">
        <v>291</v>
      </c>
      <c r="B71" s="78" t="s">
        <v>307</v>
      </c>
      <c r="C71" s="78" t="s">
        <v>455</v>
      </c>
      <c r="D71" s="94"/>
      <c r="E71" s="445"/>
      <c r="F71" s="94">
        <v>12000</v>
      </c>
      <c r="G71" s="445"/>
      <c r="I71" s="410"/>
      <c r="J71" s="410"/>
      <c r="K71" s="426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0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</row>
    <row r="72" spans="1:47" s="33" customFormat="1" ht="20.25" customHeight="1">
      <c r="A72" s="78" t="s">
        <v>357</v>
      </c>
      <c r="B72" s="78" t="s">
        <v>358</v>
      </c>
      <c r="C72" s="78" t="s">
        <v>246</v>
      </c>
      <c r="D72" s="94"/>
      <c r="E72" s="452"/>
      <c r="F72" s="94">
        <v>48000</v>
      </c>
      <c r="G72" s="452"/>
      <c r="I72" s="410"/>
      <c r="J72" s="410"/>
      <c r="K72" s="426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</row>
    <row r="73" spans="1:47" s="33" customFormat="1" ht="20.25" customHeight="1">
      <c r="A73" s="78" t="s">
        <v>456</v>
      </c>
      <c r="B73" s="78" t="s">
        <v>457</v>
      </c>
      <c r="C73" s="78" t="s">
        <v>455</v>
      </c>
      <c r="D73" s="94"/>
      <c r="E73" s="452"/>
      <c r="F73" s="94">
        <v>40000</v>
      </c>
      <c r="G73" s="452"/>
      <c r="I73" s="410"/>
      <c r="J73" s="410"/>
      <c r="K73" s="426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</row>
    <row r="74" spans="1:47" s="33" customFormat="1" ht="20.25" customHeight="1">
      <c r="A74" s="433" t="s">
        <v>67</v>
      </c>
      <c r="B74" s="78"/>
      <c r="C74" s="80"/>
      <c r="D74" s="94">
        <f>D75+D76</f>
        <v>303386</v>
      </c>
      <c r="E74" s="452"/>
      <c r="F74" s="94">
        <f>F75+F76</f>
        <v>18654</v>
      </c>
      <c r="G74" s="452"/>
      <c r="I74" s="410"/>
      <c r="J74" s="410"/>
      <c r="K74" s="426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</row>
    <row r="75" spans="1:47" s="154" customFormat="1" ht="20.25" customHeight="1">
      <c r="A75" s="81"/>
      <c r="B75" s="83" t="s">
        <v>355</v>
      </c>
      <c r="C75" s="83" t="s">
        <v>356</v>
      </c>
      <c r="D75" s="458"/>
      <c r="E75" s="451"/>
      <c r="F75" s="458">
        <v>18654</v>
      </c>
      <c r="G75" s="451"/>
      <c r="I75" s="379"/>
      <c r="J75" s="379"/>
      <c r="K75" s="394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</row>
    <row r="76" spans="1:47" s="154" customFormat="1" ht="20.25" customHeight="1">
      <c r="A76" s="93"/>
      <c r="B76" s="83" t="s">
        <v>359</v>
      </c>
      <c r="C76" s="83" t="s">
        <v>267</v>
      </c>
      <c r="D76" s="458">
        <f>409000-76003+28000+16245-80000+12000-100-5756</f>
        <v>303386</v>
      </c>
      <c r="E76" s="451"/>
      <c r="F76" s="458"/>
      <c r="G76" s="451"/>
      <c r="I76" s="379"/>
      <c r="J76" s="379"/>
      <c r="K76" s="394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</row>
    <row r="77" spans="1:47" s="87" customFormat="1" ht="18.75">
      <c r="A77" s="456" t="s">
        <v>68</v>
      </c>
      <c r="B77" s="78"/>
      <c r="C77" s="80"/>
      <c r="D77" s="91"/>
      <c r="E77" s="91"/>
      <c r="F77" s="91">
        <f>F78+F79+F85</f>
        <v>234841.75</v>
      </c>
      <c r="G77" s="91"/>
      <c r="H77" s="92"/>
      <c r="I77" s="411"/>
      <c r="J77" s="411"/>
      <c r="K77" s="427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1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</row>
    <row r="78" spans="1:7" ht="18.75">
      <c r="A78" s="169"/>
      <c r="B78" s="146" t="s">
        <v>69</v>
      </c>
      <c r="C78" s="86" t="s">
        <v>246</v>
      </c>
      <c r="D78" s="170"/>
      <c r="E78" s="170"/>
      <c r="F78" s="170">
        <v>645</v>
      </c>
      <c r="G78" s="170"/>
    </row>
    <row r="79" spans="1:7" ht="18.75">
      <c r="A79" s="169"/>
      <c r="B79" s="84" t="s">
        <v>247</v>
      </c>
      <c r="C79" s="86"/>
      <c r="D79" s="170"/>
      <c r="E79" s="170"/>
      <c r="F79" s="170">
        <f>SUM(F80:F84)</f>
        <v>12778</v>
      </c>
      <c r="G79" s="170"/>
    </row>
    <row r="80" spans="1:7" ht="18.75">
      <c r="A80" s="169"/>
      <c r="B80" s="81"/>
      <c r="C80" s="83" t="s">
        <v>254</v>
      </c>
      <c r="D80" s="170"/>
      <c r="E80" s="170"/>
      <c r="F80" s="170">
        <v>80</v>
      </c>
      <c r="G80" s="170"/>
    </row>
    <row r="81" spans="1:7" ht="18.75">
      <c r="A81" s="169"/>
      <c r="B81" s="84"/>
      <c r="C81" s="83" t="s">
        <v>248</v>
      </c>
      <c r="D81" s="170"/>
      <c r="E81" s="170"/>
      <c r="F81" s="170">
        <f>5500+3000</f>
        <v>8500</v>
      </c>
      <c r="G81" s="170"/>
    </row>
    <row r="82" spans="1:7" ht="18.75">
      <c r="A82" s="169"/>
      <c r="B82" s="84"/>
      <c r="C82" s="83" t="s">
        <v>267</v>
      </c>
      <c r="D82" s="170"/>
      <c r="E82" s="170"/>
      <c r="F82" s="170">
        <v>18</v>
      </c>
      <c r="G82" s="170"/>
    </row>
    <row r="83" spans="1:7" ht="18.75">
      <c r="A83" s="169"/>
      <c r="B83" s="84"/>
      <c r="C83" s="83" t="s">
        <v>462</v>
      </c>
      <c r="D83" s="170"/>
      <c r="E83" s="170"/>
      <c r="F83" s="170">
        <v>4000</v>
      </c>
      <c r="G83" s="170"/>
    </row>
    <row r="84" spans="1:7" ht="18.75">
      <c r="A84" s="169"/>
      <c r="B84" s="93"/>
      <c r="C84" s="83" t="s">
        <v>246</v>
      </c>
      <c r="D84" s="170"/>
      <c r="E84" s="170"/>
      <c r="F84" s="170">
        <v>180</v>
      </c>
      <c r="G84" s="170"/>
    </row>
    <row r="85" spans="1:7" ht="18.75">
      <c r="A85" s="169"/>
      <c r="B85" s="81" t="s">
        <v>325</v>
      </c>
      <c r="C85" s="83" t="s">
        <v>268</v>
      </c>
      <c r="D85" s="170"/>
      <c r="E85" s="170"/>
      <c r="F85" s="170">
        <v>221418.75</v>
      </c>
      <c r="G85" s="170"/>
    </row>
    <row r="86" spans="1:47" s="87" customFormat="1" ht="18.75">
      <c r="A86" s="432" t="s">
        <v>277</v>
      </c>
      <c r="B86" s="78"/>
      <c r="C86" s="80"/>
      <c r="D86" s="91">
        <f>D87+D88</f>
        <v>430000</v>
      </c>
      <c r="E86" s="91"/>
      <c r="F86" s="91"/>
      <c r="G86" s="91"/>
      <c r="H86" s="92"/>
      <c r="I86" s="411"/>
      <c r="J86" s="411"/>
      <c r="K86" s="427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1"/>
      <c r="AL86" s="411"/>
      <c r="AM86" s="411"/>
      <c r="AN86" s="411"/>
      <c r="AO86" s="411"/>
      <c r="AP86" s="411"/>
      <c r="AQ86" s="411"/>
      <c r="AR86" s="411"/>
      <c r="AS86" s="411"/>
      <c r="AT86" s="411"/>
      <c r="AU86" s="411"/>
    </row>
    <row r="87" spans="1:7" ht="18.75">
      <c r="A87" s="169"/>
      <c r="B87" s="93" t="s">
        <v>350</v>
      </c>
      <c r="C87" s="83" t="s">
        <v>351</v>
      </c>
      <c r="D87" s="170">
        <f>380000-150000</f>
        <v>230000</v>
      </c>
      <c r="E87" s="170"/>
      <c r="F87" s="170"/>
      <c r="G87" s="170"/>
    </row>
    <row r="88" spans="1:7" ht="18.75">
      <c r="A88" s="169"/>
      <c r="B88" s="93" t="s">
        <v>352</v>
      </c>
      <c r="C88" s="83" t="s">
        <v>351</v>
      </c>
      <c r="D88" s="170">
        <v>200000</v>
      </c>
      <c r="E88" s="170"/>
      <c r="F88" s="170"/>
      <c r="G88" s="170"/>
    </row>
    <row r="89" spans="1:47" s="87" customFormat="1" ht="18.75">
      <c r="A89" s="79" t="s">
        <v>311</v>
      </c>
      <c r="B89" s="444" t="s">
        <v>312</v>
      </c>
      <c r="C89" s="114" t="s">
        <v>246</v>
      </c>
      <c r="D89" s="91"/>
      <c r="E89" s="91"/>
      <c r="F89" s="91">
        <v>2500</v>
      </c>
      <c r="G89" s="91"/>
      <c r="H89" s="92"/>
      <c r="I89" s="427"/>
      <c r="J89" s="411"/>
      <c r="K89" s="427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</row>
    <row r="90" spans="1:47" s="33" customFormat="1" ht="19.5" customHeight="1">
      <c r="A90" s="599" t="s">
        <v>12</v>
      </c>
      <c r="B90" s="395"/>
      <c r="C90" s="80"/>
      <c r="D90" s="94">
        <f>D71+D72+D73+D74+D77+D86+D89</f>
        <v>733386</v>
      </c>
      <c r="E90" s="94">
        <f>E71+E72+E73+E74+E77+E86+E89</f>
        <v>0</v>
      </c>
      <c r="F90" s="94">
        <f>F71+F72+F73+F74+F77+F86+F89</f>
        <v>355995.75</v>
      </c>
      <c r="G90" s="94">
        <f>G71+G72+G73+G74+G77+G86+G89</f>
        <v>0</v>
      </c>
      <c r="H90" s="90"/>
      <c r="I90" s="426"/>
      <c r="J90" s="410"/>
      <c r="K90" s="426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</row>
    <row r="91" spans="1:47" s="33" customFormat="1" ht="19.5" customHeight="1">
      <c r="A91" s="600"/>
      <c r="B91" s="89"/>
      <c r="C91" s="89"/>
      <c r="D91" s="90"/>
      <c r="E91" s="90"/>
      <c r="F91" s="90"/>
      <c r="G91" s="90"/>
      <c r="I91" s="426"/>
      <c r="J91" s="410"/>
      <c r="K91" s="426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10"/>
      <c r="AN91" s="410"/>
      <c r="AO91" s="410"/>
      <c r="AP91" s="410"/>
      <c r="AQ91" s="410"/>
      <c r="AR91" s="410"/>
      <c r="AS91" s="410"/>
      <c r="AT91" s="410"/>
      <c r="AU91" s="410"/>
    </row>
    <row r="92" spans="1:47" s="33" customFormat="1" ht="19.5" customHeight="1">
      <c r="A92" s="88"/>
      <c r="B92" s="62"/>
      <c r="C92" s="63"/>
      <c r="D92" s="64"/>
      <c r="E92" s="64"/>
      <c r="F92" s="65"/>
      <c r="G92" s="65"/>
      <c r="H92" s="66"/>
      <c r="I92" s="410"/>
      <c r="J92" s="410"/>
      <c r="K92" s="426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</row>
    <row r="93" spans="1:47" s="33" customFormat="1" ht="19.5" customHeight="1">
      <c r="A93" s="61" t="s">
        <v>57</v>
      </c>
      <c r="B93" s="62"/>
      <c r="C93" s="63"/>
      <c r="D93" s="64"/>
      <c r="E93" s="64"/>
      <c r="F93" s="65"/>
      <c r="G93" s="65"/>
      <c r="H93" s="66"/>
      <c r="I93" s="410"/>
      <c r="J93" s="410"/>
      <c r="K93" s="426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</row>
    <row r="94" spans="1:47" s="33" customFormat="1" ht="19.5" customHeight="1">
      <c r="A94" s="61"/>
      <c r="B94" s="71"/>
      <c r="C94" s="72"/>
      <c r="D94" s="60"/>
      <c r="E94" s="60"/>
      <c r="F94" s="69"/>
      <c r="G94" s="69"/>
      <c r="H94" s="24"/>
      <c r="I94" s="410"/>
      <c r="J94" s="410"/>
      <c r="K94" s="426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</row>
    <row r="95" spans="1:47" s="33" customFormat="1" ht="19.5" customHeight="1">
      <c r="A95" s="70" t="s">
        <v>59</v>
      </c>
      <c r="B95" s="67"/>
      <c r="C95" s="68"/>
      <c r="D95" s="60"/>
      <c r="E95" s="60"/>
      <c r="F95" s="69"/>
      <c r="G95" s="69"/>
      <c r="H95" s="24"/>
      <c r="I95" s="410"/>
      <c r="J95" s="410"/>
      <c r="K95" s="426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</row>
    <row r="96" spans="1:47" s="33" customFormat="1" ht="19.5" customHeight="1">
      <c r="A96" s="594"/>
      <c r="B96" s="591"/>
      <c r="C96" s="74"/>
      <c r="D96" s="10" t="s">
        <v>26</v>
      </c>
      <c r="E96" s="11"/>
      <c r="F96" s="10" t="s">
        <v>27</v>
      </c>
      <c r="G96" s="11"/>
      <c r="H96" s="24"/>
      <c r="I96" s="410"/>
      <c r="J96" s="410"/>
      <c r="K96" s="426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</row>
    <row r="97" spans="1:47" s="33" customFormat="1" ht="19.5" customHeight="1">
      <c r="A97" s="75"/>
      <c r="B97" s="592"/>
      <c r="C97" s="76"/>
      <c r="D97" s="12" t="s">
        <v>3</v>
      </c>
      <c r="E97" s="11" t="s">
        <v>2</v>
      </c>
      <c r="F97" s="12" t="s">
        <v>3</v>
      </c>
      <c r="G97" s="11" t="s">
        <v>2</v>
      </c>
      <c r="H97" s="24"/>
      <c r="I97" s="410"/>
      <c r="J97" s="410"/>
      <c r="K97" s="426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</row>
    <row r="98" spans="1:47" s="33" customFormat="1" ht="19.5" customHeight="1">
      <c r="A98" s="77" t="s">
        <v>5</v>
      </c>
      <c r="B98" s="593" t="s">
        <v>11</v>
      </c>
      <c r="C98" s="77" t="s">
        <v>6</v>
      </c>
      <c r="D98" s="13" t="s">
        <v>7</v>
      </c>
      <c r="E98" s="14" t="s">
        <v>8</v>
      </c>
      <c r="F98" s="13" t="s">
        <v>7</v>
      </c>
      <c r="G98" s="14" t="s">
        <v>8</v>
      </c>
      <c r="H98" s="24"/>
      <c r="I98" s="410"/>
      <c r="J98" s="410"/>
      <c r="K98" s="426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410"/>
      <c r="AG98" s="410"/>
      <c r="AH98" s="410"/>
      <c r="AI98" s="410"/>
      <c r="AJ98" s="410"/>
      <c r="AK98" s="410"/>
      <c r="AL98" s="410"/>
      <c r="AM98" s="410"/>
      <c r="AN98" s="410"/>
      <c r="AO98" s="410"/>
      <c r="AP98" s="410"/>
      <c r="AQ98" s="410"/>
      <c r="AR98" s="410"/>
      <c r="AS98" s="410"/>
      <c r="AT98" s="410"/>
      <c r="AU98" s="410"/>
    </row>
    <row r="99" spans="1:47" s="33" customFormat="1" ht="19.5" customHeight="1">
      <c r="A99" s="171" t="s">
        <v>291</v>
      </c>
      <c r="B99" s="78"/>
      <c r="C99" s="78"/>
      <c r="D99" s="162">
        <f>D100+D101</f>
        <v>100000</v>
      </c>
      <c r="E99" s="396"/>
      <c r="F99" s="162">
        <f>F100+F101</f>
        <v>28000</v>
      </c>
      <c r="G99" s="396"/>
      <c r="H99" s="380"/>
      <c r="I99" s="410"/>
      <c r="J99" s="410"/>
      <c r="K99" s="426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0"/>
      <c r="AC99" s="410"/>
      <c r="AD99" s="410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0"/>
      <c r="AR99" s="410"/>
      <c r="AS99" s="410"/>
      <c r="AT99" s="410"/>
      <c r="AU99" s="410"/>
    </row>
    <row r="100" spans="1:47" s="154" customFormat="1" ht="19.5" customHeight="1">
      <c r="A100" s="84"/>
      <c r="B100" s="146" t="s">
        <v>292</v>
      </c>
      <c r="C100" s="146" t="s">
        <v>455</v>
      </c>
      <c r="D100" s="159">
        <v>100000</v>
      </c>
      <c r="E100" s="382"/>
      <c r="F100" s="159"/>
      <c r="G100" s="382"/>
      <c r="H100" s="381"/>
      <c r="I100" s="379"/>
      <c r="J100" s="379"/>
      <c r="K100" s="394"/>
      <c r="L100" s="379"/>
      <c r="M100" s="379"/>
      <c r="N100" s="379"/>
      <c r="O100" s="379"/>
      <c r="P100" s="379"/>
      <c r="Q100" s="379"/>
      <c r="R100" s="379"/>
      <c r="S100" s="379"/>
      <c r="T100" s="379"/>
      <c r="U100" s="379"/>
      <c r="V100" s="379"/>
      <c r="W100" s="379"/>
      <c r="X100" s="379"/>
      <c r="Y100" s="379"/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79"/>
      <c r="AS100" s="379"/>
      <c r="AT100" s="379"/>
      <c r="AU100" s="379"/>
    </row>
    <row r="101" spans="1:47" s="154" customFormat="1" ht="19.5" customHeight="1">
      <c r="A101" s="84"/>
      <c r="B101" s="146" t="s">
        <v>360</v>
      </c>
      <c r="C101" s="146" t="s">
        <v>361</v>
      </c>
      <c r="D101" s="159"/>
      <c r="E101" s="382"/>
      <c r="F101" s="159">
        <v>28000</v>
      </c>
      <c r="G101" s="382"/>
      <c r="H101" s="381"/>
      <c r="I101" s="379"/>
      <c r="J101" s="379"/>
      <c r="K101" s="394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  <c r="Z101" s="379"/>
      <c r="AA101" s="379"/>
      <c r="AB101" s="379"/>
      <c r="AC101" s="379"/>
      <c r="AD101" s="379"/>
      <c r="AE101" s="379"/>
      <c r="AF101" s="379"/>
      <c r="AG101" s="379"/>
      <c r="AH101" s="379"/>
      <c r="AI101" s="379"/>
      <c r="AJ101" s="379"/>
      <c r="AK101" s="379"/>
      <c r="AL101" s="379"/>
      <c r="AM101" s="379"/>
      <c r="AN101" s="379"/>
      <c r="AO101" s="379"/>
      <c r="AP101" s="379"/>
      <c r="AQ101" s="379"/>
      <c r="AR101" s="379"/>
      <c r="AS101" s="379"/>
      <c r="AT101" s="379"/>
      <c r="AU101" s="379"/>
    </row>
    <row r="102" spans="1:47" s="33" customFormat="1" ht="19.5" customHeight="1">
      <c r="A102" s="79" t="s">
        <v>67</v>
      </c>
      <c r="B102" s="78"/>
      <c r="C102" s="78"/>
      <c r="D102" s="162"/>
      <c r="E102" s="396"/>
      <c r="F102" s="162">
        <f>F103+F104</f>
        <v>185988</v>
      </c>
      <c r="G102" s="396"/>
      <c r="H102" s="380"/>
      <c r="I102" s="410"/>
      <c r="J102" s="410"/>
      <c r="K102" s="426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0"/>
      <c r="AG102" s="410"/>
      <c r="AH102" s="410"/>
      <c r="AI102" s="410"/>
      <c r="AJ102" s="410"/>
      <c r="AK102" s="410"/>
      <c r="AL102" s="410"/>
      <c r="AM102" s="410"/>
      <c r="AN102" s="410"/>
      <c r="AO102" s="410"/>
      <c r="AP102" s="410"/>
      <c r="AQ102" s="410"/>
      <c r="AR102" s="410"/>
      <c r="AS102" s="410"/>
      <c r="AT102" s="410"/>
      <c r="AU102" s="410"/>
    </row>
    <row r="103" spans="1:47" s="154" customFormat="1" ht="19.5" customHeight="1">
      <c r="A103" s="79"/>
      <c r="B103" s="83" t="s">
        <v>355</v>
      </c>
      <c r="C103" s="146" t="s">
        <v>356</v>
      </c>
      <c r="D103" s="159"/>
      <c r="E103" s="382"/>
      <c r="F103" s="159">
        <v>169743</v>
      </c>
      <c r="G103" s="382"/>
      <c r="H103" s="381"/>
      <c r="I103" s="379"/>
      <c r="J103" s="379"/>
      <c r="K103" s="394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79"/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79"/>
      <c r="AQ103" s="379"/>
      <c r="AR103" s="379"/>
      <c r="AS103" s="379"/>
      <c r="AT103" s="379"/>
      <c r="AU103" s="379"/>
    </row>
    <row r="104" spans="1:47" s="154" customFormat="1" ht="19.5" customHeight="1">
      <c r="A104" s="93"/>
      <c r="B104" s="83" t="s">
        <v>445</v>
      </c>
      <c r="C104" s="146" t="s">
        <v>446</v>
      </c>
      <c r="D104" s="159"/>
      <c r="E104" s="382"/>
      <c r="F104" s="159">
        <v>16245</v>
      </c>
      <c r="G104" s="382"/>
      <c r="H104" s="381"/>
      <c r="I104" s="379"/>
      <c r="J104" s="379"/>
      <c r="K104" s="394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79"/>
      <c r="AG104" s="379"/>
      <c r="AH104" s="379"/>
      <c r="AI104" s="379"/>
      <c r="AJ104" s="379"/>
      <c r="AK104" s="379"/>
      <c r="AL104" s="379"/>
      <c r="AM104" s="379"/>
      <c r="AN104" s="379"/>
      <c r="AO104" s="379"/>
      <c r="AP104" s="379"/>
      <c r="AQ104" s="379"/>
      <c r="AR104" s="379"/>
      <c r="AS104" s="379"/>
      <c r="AT104" s="379"/>
      <c r="AU104" s="379"/>
    </row>
    <row r="105" spans="1:47" s="33" customFormat="1" ht="19.5" customHeight="1">
      <c r="A105" s="444" t="s">
        <v>68</v>
      </c>
      <c r="B105" s="78"/>
      <c r="C105" s="78"/>
      <c r="D105" s="162">
        <f>D106+D111+D112</f>
        <v>42600</v>
      </c>
      <c r="E105" s="396"/>
      <c r="F105" s="162">
        <f>F106+F111+F112</f>
        <v>42254</v>
      </c>
      <c r="G105" s="396"/>
      <c r="H105" s="380"/>
      <c r="I105" s="410"/>
      <c r="J105" s="410"/>
      <c r="K105" s="426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  <c r="AA105" s="410"/>
      <c r="AB105" s="410"/>
      <c r="AC105" s="410"/>
      <c r="AD105" s="410"/>
      <c r="AE105" s="410"/>
      <c r="AF105" s="410"/>
      <c r="AG105" s="410"/>
      <c r="AH105" s="410"/>
      <c r="AI105" s="410"/>
      <c r="AJ105" s="410"/>
      <c r="AK105" s="410"/>
      <c r="AL105" s="410"/>
      <c r="AM105" s="410"/>
      <c r="AN105" s="410"/>
      <c r="AO105" s="410"/>
      <c r="AP105" s="410"/>
      <c r="AQ105" s="410"/>
      <c r="AR105" s="410"/>
      <c r="AS105" s="410"/>
      <c r="AT105" s="410"/>
      <c r="AU105" s="410"/>
    </row>
    <row r="106" spans="1:47" s="154" customFormat="1" ht="19.5" customHeight="1">
      <c r="A106" s="79"/>
      <c r="B106" s="82" t="s">
        <v>276</v>
      </c>
      <c r="C106" s="146"/>
      <c r="D106" s="159">
        <f>SUM(D107:D110)</f>
        <v>42600</v>
      </c>
      <c r="E106" s="382"/>
      <c r="F106" s="159">
        <f>SUM(F107:F110)</f>
        <v>37709</v>
      </c>
      <c r="G106" s="382"/>
      <c r="H106" s="381"/>
      <c r="I106" s="379"/>
      <c r="J106" s="379"/>
      <c r="K106" s="394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79"/>
      <c r="AK106" s="379"/>
      <c r="AL106" s="379"/>
      <c r="AM106" s="379"/>
      <c r="AN106" s="379"/>
      <c r="AO106" s="379"/>
      <c r="AP106" s="379"/>
      <c r="AQ106" s="379"/>
      <c r="AR106" s="379"/>
      <c r="AS106" s="379"/>
      <c r="AT106" s="379"/>
      <c r="AU106" s="379"/>
    </row>
    <row r="107" spans="1:47" s="154" customFormat="1" ht="19.5" customHeight="1">
      <c r="A107" s="84"/>
      <c r="B107" s="82"/>
      <c r="C107" s="83" t="s">
        <v>327</v>
      </c>
      <c r="D107" s="159">
        <v>100</v>
      </c>
      <c r="E107" s="382"/>
      <c r="F107" s="159">
        <v>120</v>
      </c>
      <c r="G107" s="382"/>
      <c r="H107" s="381"/>
      <c r="I107" s="379"/>
      <c r="J107" s="379"/>
      <c r="K107" s="394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79"/>
      <c r="AT107" s="379"/>
      <c r="AU107" s="379"/>
    </row>
    <row r="108" spans="1:47" s="154" customFormat="1" ht="19.5" customHeight="1">
      <c r="A108" s="84"/>
      <c r="B108" s="85"/>
      <c r="C108" s="83" t="s">
        <v>254</v>
      </c>
      <c r="D108" s="159">
        <v>41700</v>
      </c>
      <c r="E108" s="382"/>
      <c r="F108" s="159">
        <v>36000</v>
      </c>
      <c r="G108" s="382"/>
      <c r="H108" s="381"/>
      <c r="I108" s="379"/>
      <c r="J108" s="379"/>
      <c r="K108" s="394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9"/>
      <c r="AP108" s="379"/>
      <c r="AQ108" s="379"/>
      <c r="AR108" s="379"/>
      <c r="AS108" s="379"/>
      <c r="AT108" s="379"/>
      <c r="AU108" s="379"/>
    </row>
    <row r="109" spans="1:47" s="154" customFormat="1" ht="19.5" customHeight="1">
      <c r="A109" s="84"/>
      <c r="B109" s="85"/>
      <c r="C109" s="83" t="s">
        <v>267</v>
      </c>
      <c r="D109" s="159"/>
      <c r="E109" s="382"/>
      <c r="F109" s="159">
        <v>300</v>
      </c>
      <c r="G109" s="382"/>
      <c r="H109" s="381"/>
      <c r="I109" s="379"/>
      <c r="J109" s="379"/>
      <c r="K109" s="394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  <c r="AO109" s="379"/>
      <c r="AP109" s="379"/>
      <c r="AQ109" s="379"/>
      <c r="AR109" s="379"/>
      <c r="AS109" s="379"/>
      <c r="AT109" s="379"/>
      <c r="AU109" s="379"/>
    </row>
    <row r="110" spans="1:47" s="154" customFormat="1" ht="19.5" customHeight="1">
      <c r="A110" s="84"/>
      <c r="B110" s="86"/>
      <c r="C110" s="83" t="s">
        <v>246</v>
      </c>
      <c r="D110" s="159">
        <v>800</v>
      </c>
      <c r="E110" s="382"/>
      <c r="F110" s="159">
        <v>1289</v>
      </c>
      <c r="G110" s="382"/>
      <c r="H110" s="381"/>
      <c r="I110" s="379"/>
      <c r="J110" s="379"/>
      <c r="K110" s="394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</row>
    <row r="111" spans="1:47" s="154" customFormat="1" ht="19.5" customHeight="1">
      <c r="A111" s="84"/>
      <c r="B111" s="86" t="s">
        <v>326</v>
      </c>
      <c r="C111" s="146" t="s">
        <v>327</v>
      </c>
      <c r="D111" s="159"/>
      <c r="E111" s="382"/>
      <c r="F111" s="159">
        <v>545</v>
      </c>
      <c r="G111" s="382"/>
      <c r="H111" s="381"/>
      <c r="I111" s="379"/>
      <c r="J111" s="379"/>
      <c r="K111" s="394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</row>
    <row r="112" spans="1:47" s="154" customFormat="1" ht="19.5" customHeight="1">
      <c r="A112" s="84"/>
      <c r="B112" s="83" t="s">
        <v>219</v>
      </c>
      <c r="C112" s="146" t="s">
        <v>248</v>
      </c>
      <c r="D112" s="159"/>
      <c r="E112" s="382"/>
      <c r="F112" s="159">
        <v>4000</v>
      </c>
      <c r="G112" s="382"/>
      <c r="H112" s="381"/>
      <c r="I112" s="379"/>
      <c r="J112" s="379"/>
      <c r="K112" s="394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79"/>
      <c r="AQ112" s="379"/>
      <c r="AR112" s="379"/>
      <c r="AS112" s="379"/>
      <c r="AT112" s="379"/>
      <c r="AU112" s="379"/>
    </row>
    <row r="113" spans="1:47" s="33" customFormat="1" ht="19.5" customHeight="1">
      <c r="A113" s="78" t="s">
        <v>277</v>
      </c>
      <c r="B113" s="80" t="s">
        <v>282</v>
      </c>
      <c r="C113" s="78" t="s">
        <v>461</v>
      </c>
      <c r="D113" s="162">
        <v>5756</v>
      </c>
      <c r="E113" s="396"/>
      <c r="F113" s="162"/>
      <c r="G113" s="396"/>
      <c r="H113" s="380"/>
      <c r="I113" s="410"/>
      <c r="J113" s="410"/>
      <c r="K113" s="426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410"/>
      <c r="Z113" s="410"/>
      <c r="AA113" s="410"/>
      <c r="AB113" s="410"/>
      <c r="AC113" s="410"/>
      <c r="AD113" s="410"/>
      <c r="AE113" s="410"/>
      <c r="AF113" s="410"/>
      <c r="AG113" s="410"/>
      <c r="AH113" s="410"/>
      <c r="AI113" s="410"/>
      <c r="AJ113" s="410"/>
      <c r="AK113" s="410"/>
      <c r="AL113" s="410"/>
      <c r="AM113" s="410"/>
      <c r="AN113" s="410"/>
      <c r="AO113" s="410"/>
      <c r="AP113" s="410"/>
      <c r="AQ113" s="410"/>
      <c r="AR113" s="410"/>
      <c r="AS113" s="410"/>
      <c r="AT113" s="410"/>
      <c r="AU113" s="410"/>
    </row>
    <row r="114" spans="1:47" s="33" customFormat="1" ht="19.5" customHeight="1">
      <c r="A114" s="78" t="s">
        <v>250</v>
      </c>
      <c r="B114" s="80" t="s">
        <v>329</v>
      </c>
      <c r="C114" s="78" t="s">
        <v>246</v>
      </c>
      <c r="D114" s="162"/>
      <c r="E114" s="396"/>
      <c r="F114" s="162">
        <v>11964</v>
      </c>
      <c r="G114" s="396"/>
      <c r="H114" s="380"/>
      <c r="I114" s="410"/>
      <c r="J114" s="410"/>
      <c r="K114" s="426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  <c r="AA114" s="410"/>
      <c r="AB114" s="410"/>
      <c r="AC114" s="410"/>
      <c r="AD114" s="410"/>
      <c r="AE114" s="410"/>
      <c r="AF114" s="410"/>
      <c r="AG114" s="410"/>
      <c r="AH114" s="410"/>
      <c r="AI114" s="410"/>
      <c r="AJ114" s="410"/>
      <c r="AK114" s="410"/>
      <c r="AL114" s="410"/>
      <c r="AM114" s="410"/>
      <c r="AN114" s="410"/>
      <c r="AO114" s="410"/>
      <c r="AP114" s="410"/>
      <c r="AQ114" s="410"/>
      <c r="AR114" s="410"/>
      <c r="AS114" s="410"/>
      <c r="AT114" s="410"/>
      <c r="AU114" s="410"/>
    </row>
    <row r="115" spans="1:47" s="33" customFormat="1" ht="19.5" customHeight="1">
      <c r="A115" s="599" t="s">
        <v>12</v>
      </c>
      <c r="B115" s="395"/>
      <c r="C115" s="80"/>
      <c r="D115" s="94">
        <f>D99+D102+D105+D113+D114</f>
        <v>148356</v>
      </c>
      <c r="E115" s="94">
        <f>E99+E102+E105+E113+E114</f>
        <v>0</v>
      </c>
      <c r="F115" s="94">
        <f>F99+F102+F105+F113+F114</f>
        <v>268206</v>
      </c>
      <c r="G115" s="94">
        <f>G99+G102+G105+G113+G114</f>
        <v>0</v>
      </c>
      <c r="H115" s="90"/>
      <c r="I115" s="426"/>
      <c r="J115" s="410"/>
      <c r="K115" s="426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  <c r="AA115" s="410"/>
      <c r="AB115" s="410"/>
      <c r="AC115" s="410"/>
      <c r="AD115" s="410"/>
      <c r="AE115" s="410"/>
      <c r="AF115" s="410"/>
      <c r="AG115" s="410"/>
      <c r="AH115" s="410"/>
      <c r="AI115" s="410"/>
      <c r="AJ115" s="410"/>
      <c r="AK115" s="410"/>
      <c r="AL115" s="410"/>
      <c r="AM115" s="410"/>
      <c r="AN115" s="410"/>
      <c r="AO115" s="410"/>
      <c r="AP115" s="410"/>
      <c r="AQ115" s="410"/>
      <c r="AR115" s="410"/>
      <c r="AS115" s="410"/>
      <c r="AT115" s="410"/>
      <c r="AU115" s="410"/>
    </row>
    <row r="116" spans="1:47" s="33" customFormat="1" ht="19.5" customHeight="1">
      <c r="A116" s="88"/>
      <c r="B116" s="89"/>
      <c r="C116" s="89"/>
      <c r="D116" s="90"/>
      <c r="E116" s="90"/>
      <c r="F116" s="90"/>
      <c r="G116" s="90"/>
      <c r="H116" s="90"/>
      <c r="I116" s="426"/>
      <c r="J116" s="410"/>
      <c r="K116" s="426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</row>
    <row r="117" spans="1:47" s="28" customFormat="1" ht="15.75">
      <c r="A117" s="601"/>
      <c r="B117" s="96"/>
      <c r="C117" s="97"/>
      <c r="H117" s="1"/>
      <c r="I117" s="381"/>
      <c r="J117" s="381"/>
      <c r="K117" s="383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1"/>
      <c r="AM117" s="381"/>
      <c r="AN117" s="381"/>
      <c r="AO117" s="381"/>
      <c r="AP117" s="381"/>
      <c r="AQ117" s="381"/>
      <c r="AR117" s="381"/>
      <c r="AS117" s="381"/>
      <c r="AT117" s="381"/>
      <c r="AU117" s="381"/>
    </row>
    <row r="118" spans="1:8" ht="15.75">
      <c r="A118" s="50" t="s">
        <v>464</v>
      </c>
      <c r="B118" s="95"/>
      <c r="C118" s="406"/>
      <c r="D118" s="28"/>
      <c r="E118" s="28"/>
      <c r="F118" s="28"/>
      <c r="G118" s="28"/>
      <c r="H118" s="1"/>
    </row>
    <row r="119" spans="1:10" ht="18.75">
      <c r="A119" s="95"/>
      <c r="B119" s="96"/>
      <c r="C119" s="97"/>
      <c r="D119" s="16"/>
      <c r="E119" s="16"/>
      <c r="F119" s="16"/>
      <c r="G119" s="16"/>
      <c r="H119" s="17"/>
      <c r="J119" s="409"/>
    </row>
    <row r="120" spans="1:10" ht="15.75">
      <c r="A120" s="50"/>
      <c r="B120" s="98" t="s">
        <v>28</v>
      </c>
      <c r="C120" s="99"/>
      <c r="D120" s="16"/>
      <c r="E120" s="16"/>
      <c r="F120" s="16"/>
      <c r="G120" s="16"/>
      <c r="H120" s="100">
        <f>H123+H134</f>
        <v>428075811.05</v>
      </c>
      <c r="I120" s="409"/>
      <c r="J120" s="409"/>
    </row>
    <row r="121" spans="1:10" ht="15.75">
      <c r="A121" s="50"/>
      <c r="B121" s="98" t="s">
        <v>25</v>
      </c>
      <c r="C121" s="99"/>
      <c r="D121" s="16"/>
      <c r="E121" s="16"/>
      <c r="F121" s="16"/>
      <c r="G121" s="16"/>
      <c r="H121" s="100">
        <f>H124+H135</f>
        <v>427818270.8</v>
      </c>
      <c r="I121" s="409"/>
      <c r="J121" s="409"/>
    </row>
    <row r="122" spans="1:8" ht="15.75">
      <c r="A122" s="50"/>
      <c r="B122" s="101" t="s">
        <v>23</v>
      </c>
      <c r="C122" s="97"/>
      <c r="D122" s="16"/>
      <c r="E122" s="16"/>
      <c r="F122" s="16"/>
      <c r="G122" s="16"/>
      <c r="H122" s="100"/>
    </row>
    <row r="123" spans="1:10" ht="15.75">
      <c r="A123" s="103" t="s">
        <v>29</v>
      </c>
      <c r="B123" s="103"/>
      <c r="C123" s="403"/>
      <c r="D123" s="64"/>
      <c r="E123" s="60"/>
      <c r="F123" s="60"/>
      <c r="G123" s="16"/>
      <c r="H123" s="100">
        <f>H126+H130</f>
        <v>310694426.13</v>
      </c>
      <c r="J123" s="409"/>
    </row>
    <row r="124" spans="1:10" ht="15.75">
      <c r="A124" s="103"/>
      <c r="B124" s="104" t="s">
        <v>25</v>
      </c>
      <c r="C124" s="403"/>
      <c r="D124" s="64"/>
      <c r="E124" s="60"/>
      <c r="F124" s="60"/>
      <c r="G124" s="16"/>
      <c r="H124" s="100">
        <f>H127+H131</f>
        <v>310374277.88</v>
      </c>
      <c r="I124" s="409"/>
      <c r="J124" s="409"/>
    </row>
    <row r="125" spans="1:10" ht="15.75">
      <c r="A125" s="103"/>
      <c r="B125" s="59" t="s">
        <v>30</v>
      </c>
      <c r="C125" s="404"/>
      <c r="D125" s="60"/>
      <c r="E125" s="60"/>
      <c r="F125" s="60"/>
      <c r="G125" s="16"/>
      <c r="H125" s="100"/>
      <c r="J125" s="409"/>
    </row>
    <row r="126" spans="1:8" ht="15.75">
      <c r="A126" s="105" t="s">
        <v>31</v>
      </c>
      <c r="B126" s="105"/>
      <c r="C126" s="405"/>
      <c r="D126" s="106"/>
      <c r="E126" s="60"/>
      <c r="F126" s="60"/>
      <c r="G126" s="16"/>
      <c r="H126" s="100">
        <f>271502777.51-20000</f>
        <v>271482777.51</v>
      </c>
    </row>
    <row r="127" spans="1:9" ht="15.75">
      <c r="A127" s="105"/>
      <c r="B127" s="107" t="s">
        <v>25</v>
      </c>
      <c r="C127" s="405"/>
      <c r="D127" s="106"/>
      <c r="E127" s="64"/>
      <c r="F127" s="106"/>
      <c r="G127" s="108"/>
      <c r="H127" s="100">
        <f>H126-D217+D212+F217-F155-F199</f>
        <v>271561229.26</v>
      </c>
      <c r="I127" s="409"/>
    </row>
    <row r="128" spans="1:8" ht="15.75">
      <c r="A128" s="105"/>
      <c r="B128" s="58"/>
      <c r="C128" s="403"/>
      <c r="D128" s="26"/>
      <c r="E128" s="64"/>
      <c r="F128" s="106"/>
      <c r="G128" s="16"/>
      <c r="H128" s="100"/>
    </row>
    <row r="129" spans="1:8" ht="15.75">
      <c r="A129" s="57"/>
      <c r="B129" s="107"/>
      <c r="C129" s="405"/>
      <c r="D129" s="106"/>
      <c r="E129" s="64"/>
      <c r="F129" s="106"/>
      <c r="G129" s="16"/>
      <c r="H129" s="100"/>
    </row>
    <row r="130" spans="1:8" ht="15.75">
      <c r="A130" s="105" t="s">
        <v>32</v>
      </c>
      <c r="B130" s="105"/>
      <c r="C130" s="403"/>
      <c r="D130" s="106"/>
      <c r="E130" s="64"/>
      <c r="F130" s="106"/>
      <c r="G130" s="16"/>
      <c r="H130" s="100">
        <f>20000+39191648.62</f>
        <v>39211648.62</v>
      </c>
    </row>
    <row r="131" spans="1:10" ht="15.75">
      <c r="A131" s="105"/>
      <c r="B131" s="107" t="s">
        <v>25</v>
      </c>
      <c r="C131" s="403"/>
      <c r="D131" s="106"/>
      <c r="E131" s="64"/>
      <c r="F131" s="106"/>
      <c r="G131" s="16"/>
      <c r="H131" s="100">
        <f>H130-D212+F199+F155</f>
        <v>38813048.62</v>
      </c>
      <c r="I131" s="409"/>
      <c r="J131" s="409"/>
    </row>
    <row r="132" spans="1:10" ht="15.75">
      <c r="A132" s="105"/>
      <c r="B132" s="107"/>
      <c r="C132" s="403"/>
      <c r="D132" s="106"/>
      <c r="E132" s="64"/>
      <c r="F132" s="106"/>
      <c r="G132" s="16"/>
      <c r="H132" s="100"/>
      <c r="I132" s="409"/>
      <c r="J132" s="409"/>
    </row>
    <row r="133" spans="1:10" ht="15.75">
      <c r="A133" s="105"/>
      <c r="B133" s="107"/>
      <c r="C133" s="403"/>
      <c r="D133" s="106"/>
      <c r="E133" s="64"/>
      <c r="F133" s="106"/>
      <c r="G133" s="16"/>
      <c r="H133" s="100"/>
      <c r="I133" s="409"/>
      <c r="J133" s="409"/>
    </row>
    <row r="134" spans="1:8" ht="15.75">
      <c r="A134" s="103" t="s">
        <v>33</v>
      </c>
      <c r="B134" s="103"/>
      <c r="C134" s="403"/>
      <c r="D134" s="64"/>
      <c r="E134" s="64"/>
      <c r="F134" s="106"/>
      <c r="G134" s="16"/>
      <c r="H134" s="100">
        <f>117381384.92</f>
        <v>117381384.92</v>
      </c>
    </row>
    <row r="135" spans="1:10" ht="15.75">
      <c r="A135" s="103"/>
      <c r="B135" s="104" t="s">
        <v>25</v>
      </c>
      <c r="C135" s="403"/>
      <c r="D135" s="64"/>
      <c r="E135" s="64"/>
      <c r="F135" s="106"/>
      <c r="H135" s="53">
        <f>H134-D336+F336</f>
        <v>117443992.92</v>
      </c>
      <c r="I135" s="409"/>
      <c r="J135" s="409"/>
    </row>
    <row r="136" spans="1:8" ht="15.75">
      <c r="A136" s="103"/>
      <c r="B136" s="59" t="s">
        <v>30</v>
      </c>
      <c r="C136" s="404"/>
      <c r="D136" s="60"/>
      <c r="E136" s="64"/>
      <c r="F136" s="106"/>
      <c r="H136" s="53"/>
    </row>
    <row r="137" spans="1:8" ht="15.75">
      <c r="A137" s="105" t="s">
        <v>31</v>
      </c>
      <c r="B137" s="105"/>
      <c r="C137" s="405"/>
      <c r="D137" s="106"/>
      <c r="E137" s="64"/>
      <c r="F137" s="106"/>
      <c r="G137" s="16"/>
      <c r="H137" s="100">
        <f>107746536.62+1092+383</f>
        <v>107748011.62</v>
      </c>
    </row>
    <row r="138" spans="1:9" ht="15.75">
      <c r="A138" s="105"/>
      <c r="B138" s="107" t="s">
        <v>25</v>
      </c>
      <c r="C138" s="405"/>
      <c r="D138" s="106"/>
      <c r="E138" s="64"/>
      <c r="F138" s="106"/>
      <c r="G138" s="16"/>
      <c r="H138" s="100">
        <f>H137-D336+F336</f>
        <v>107810619.62</v>
      </c>
      <c r="I138" s="409"/>
    </row>
    <row r="139" spans="1:8" ht="15.75">
      <c r="A139" s="105"/>
      <c r="B139" s="107"/>
      <c r="C139" s="405"/>
      <c r="D139" s="106"/>
      <c r="E139" s="64"/>
      <c r="F139" s="106"/>
      <c r="G139" s="16"/>
      <c r="H139" s="100"/>
    </row>
    <row r="140" spans="1:8" ht="18.75">
      <c r="A140" s="105"/>
      <c r="B140" s="110"/>
      <c r="C140" s="111"/>
      <c r="D140" s="18"/>
      <c r="E140" s="18"/>
      <c r="F140" s="18"/>
      <c r="G140" s="18"/>
      <c r="H140" s="21"/>
    </row>
    <row r="141" spans="1:8" ht="18.75">
      <c r="A141" s="109" t="s">
        <v>16</v>
      </c>
      <c r="B141" s="110"/>
      <c r="C141" s="111"/>
      <c r="D141" s="18"/>
      <c r="E141" s="18"/>
      <c r="F141" s="18"/>
      <c r="G141" s="18"/>
      <c r="H141" s="21"/>
    </row>
    <row r="142" spans="1:8" ht="18.75">
      <c r="A142" s="109"/>
      <c r="B142" s="112"/>
      <c r="C142" s="113"/>
      <c r="D142" s="19"/>
      <c r="E142" s="19"/>
      <c r="F142" s="19"/>
      <c r="G142" s="19"/>
      <c r="H142" s="17"/>
    </row>
    <row r="143" spans="1:8" ht="15" customHeight="1">
      <c r="A143" s="112" t="s">
        <v>465</v>
      </c>
      <c r="B143" s="112"/>
      <c r="C143" s="113"/>
      <c r="D143" s="19"/>
      <c r="E143" s="19"/>
      <c r="F143" s="19"/>
      <c r="G143" s="19"/>
      <c r="H143" s="17"/>
    </row>
    <row r="144" spans="1:8" ht="15" customHeight="1">
      <c r="A144" s="112"/>
      <c r="B144" s="112"/>
      <c r="C144" s="113"/>
      <c r="D144" s="19"/>
      <c r="E144" s="19"/>
      <c r="F144" s="19"/>
      <c r="G144" s="19"/>
      <c r="H144" s="17"/>
    </row>
    <row r="145" spans="1:8" ht="18.75">
      <c r="A145" s="594"/>
      <c r="B145" s="73"/>
      <c r="C145" s="74"/>
      <c r="D145" s="10" t="s">
        <v>0</v>
      </c>
      <c r="E145" s="11"/>
      <c r="F145" s="10" t="s">
        <v>1</v>
      </c>
      <c r="G145" s="11"/>
      <c r="H145" s="17"/>
    </row>
    <row r="146" spans="1:8" ht="13.5" customHeight="1">
      <c r="A146" s="75"/>
      <c r="B146" s="75"/>
      <c r="C146" s="76"/>
      <c r="D146" s="12" t="s">
        <v>3</v>
      </c>
      <c r="E146" s="11" t="s">
        <v>2</v>
      </c>
      <c r="F146" s="12" t="s">
        <v>3</v>
      </c>
      <c r="G146" s="11" t="s">
        <v>2</v>
      </c>
      <c r="H146" s="17"/>
    </row>
    <row r="147" spans="1:8" ht="27.75" customHeight="1">
      <c r="A147" s="77" t="s">
        <v>5</v>
      </c>
      <c r="B147" s="77" t="s">
        <v>11</v>
      </c>
      <c r="C147" s="77" t="s">
        <v>6</v>
      </c>
      <c r="D147" s="13" t="s">
        <v>7</v>
      </c>
      <c r="E147" s="14" t="s">
        <v>8</v>
      </c>
      <c r="F147" s="13" t="s">
        <v>7</v>
      </c>
      <c r="G147" s="14" t="s">
        <v>8</v>
      </c>
      <c r="H147" s="17"/>
    </row>
    <row r="148" spans="1:47" s="33" customFormat="1" ht="19.5" customHeight="1">
      <c r="A148" s="79" t="s">
        <v>272</v>
      </c>
      <c r="B148" s="80"/>
      <c r="C148" s="78"/>
      <c r="D148" s="162">
        <f>D149+D152</f>
        <v>5000</v>
      </c>
      <c r="E148" s="396"/>
      <c r="F148" s="162">
        <f>F149+F152</f>
        <v>5293</v>
      </c>
      <c r="G148" s="396"/>
      <c r="H148" s="29"/>
      <c r="I148" s="410"/>
      <c r="J148" s="410"/>
      <c r="K148" s="426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</row>
    <row r="149" spans="1:47" s="154" customFormat="1" ht="19.5" customHeight="1">
      <c r="A149" s="79"/>
      <c r="B149" s="83" t="s">
        <v>273</v>
      </c>
      <c r="C149" s="83"/>
      <c r="D149" s="159">
        <f>SUM(D150:D151)</f>
        <v>0</v>
      </c>
      <c r="E149" s="382"/>
      <c r="F149" s="159">
        <f>SUM(F150:F151)</f>
        <v>5293</v>
      </c>
      <c r="G149" s="382"/>
      <c r="H149" s="28"/>
      <c r="I149" s="379"/>
      <c r="J149" s="379"/>
      <c r="K149" s="394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79"/>
      <c r="AA149" s="379"/>
      <c r="AB149" s="379"/>
      <c r="AC149" s="379"/>
      <c r="AD149" s="379"/>
      <c r="AE149" s="379"/>
      <c r="AF149" s="379"/>
      <c r="AG149" s="379"/>
      <c r="AH149" s="379"/>
      <c r="AI149" s="379"/>
      <c r="AJ149" s="379"/>
      <c r="AK149" s="379"/>
      <c r="AL149" s="379"/>
      <c r="AM149" s="379"/>
      <c r="AN149" s="379"/>
      <c r="AO149" s="379"/>
      <c r="AP149" s="379"/>
      <c r="AQ149" s="379"/>
      <c r="AR149" s="379"/>
      <c r="AS149" s="379"/>
      <c r="AT149" s="379"/>
      <c r="AU149" s="379"/>
    </row>
    <row r="150" spans="1:47" s="154" customFormat="1" ht="19.5" customHeight="1">
      <c r="A150" s="84"/>
      <c r="B150" s="85"/>
      <c r="C150" s="83" t="s">
        <v>66</v>
      </c>
      <c r="D150" s="159"/>
      <c r="E150" s="382"/>
      <c r="F150" s="159">
        <f>1200+3723</f>
        <v>4923</v>
      </c>
      <c r="G150" s="382"/>
      <c r="H150" s="28"/>
      <c r="I150" s="379"/>
      <c r="J150" s="379"/>
      <c r="K150" s="394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</row>
    <row r="151" spans="1:47" s="154" customFormat="1" ht="19.5" customHeight="1">
      <c r="A151" s="84"/>
      <c r="B151" s="85"/>
      <c r="C151" s="82" t="s">
        <v>269</v>
      </c>
      <c r="D151" s="159"/>
      <c r="E151" s="382"/>
      <c r="F151" s="159">
        <v>370</v>
      </c>
      <c r="G151" s="382"/>
      <c r="H151" s="28"/>
      <c r="I151" s="379"/>
      <c r="J151" s="379"/>
      <c r="K151" s="394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</row>
    <row r="152" spans="1:47" s="154" customFormat="1" ht="19.5" customHeight="1">
      <c r="A152" s="84"/>
      <c r="B152" s="83" t="s">
        <v>308</v>
      </c>
      <c r="C152" s="82" t="s">
        <v>66</v>
      </c>
      <c r="D152" s="159">
        <v>5000</v>
      </c>
      <c r="E152" s="382"/>
      <c r="F152" s="159"/>
      <c r="G152" s="382"/>
      <c r="H152" s="28"/>
      <c r="I152" s="379"/>
      <c r="J152" s="379"/>
      <c r="K152" s="394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</row>
    <row r="153" spans="1:47" s="154" customFormat="1" ht="19.5" customHeight="1">
      <c r="A153" s="78" t="s">
        <v>67</v>
      </c>
      <c r="B153" s="80" t="s">
        <v>220</v>
      </c>
      <c r="C153" s="80"/>
      <c r="D153" s="162">
        <f>SUM(D154:D155)</f>
        <v>0</v>
      </c>
      <c r="E153" s="396"/>
      <c r="F153" s="162">
        <f>SUM(F154:F155)</f>
        <v>591618.75</v>
      </c>
      <c r="G153" s="382"/>
      <c r="H153" s="28"/>
      <c r="I153" s="394"/>
      <c r="J153" s="379"/>
      <c r="K153" s="394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</row>
    <row r="154" spans="1:47" s="154" customFormat="1" ht="19.5" customHeight="1">
      <c r="A154" s="79"/>
      <c r="B154" s="85"/>
      <c r="C154" s="85" t="s">
        <v>221</v>
      </c>
      <c r="D154" s="159"/>
      <c r="E154" s="382"/>
      <c r="F154" s="159">
        <f>221418.75-8000-12000</f>
        <v>201418.75</v>
      </c>
      <c r="G154" s="382"/>
      <c r="H154" s="28"/>
      <c r="I154" s="379"/>
      <c r="J154" s="379"/>
      <c r="K154" s="394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</row>
    <row r="155" spans="1:47" s="154" customFormat="1" ht="19.5" customHeight="1">
      <c r="A155" s="84"/>
      <c r="B155" s="85"/>
      <c r="C155" s="82" t="s">
        <v>263</v>
      </c>
      <c r="D155" s="159"/>
      <c r="E155" s="382"/>
      <c r="F155" s="159">
        <f>190200+200000</f>
        <v>390200</v>
      </c>
      <c r="G155" s="382"/>
      <c r="H155" s="28"/>
      <c r="I155" s="379"/>
      <c r="J155" s="379"/>
      <c r="K155" s="394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</row>
    <row r="156" spans="1:47" s="33" customFormat="1" ht="19.5" customHeight="1">
      <c r="A156" s="78" t="s">
        <v>68</v>
      </c>
      <c r="B156" s="78"/>
      <c r="C156" s="80"/>
      <c r="D156" s="162">
        <f>D157+D164+D171+D178+D183</f>
        <v>71304</v>
      </c>
      <c r="E156" s="396"/>
      <c r="F156" s="162">
        <f>F157+F164+F171+F178+F183</f>
        <v>360433</v>
      </c>
      <c r="G156" s="396"/>
      <c r="H156" s="29"/>
      <c r="I156" s="410"/>
      <c r="J156" s="410"/>
      <c r="K156" s="426"/>
      <c r="L156" s="410"/>
      <c r="M156" s="410"/>
      <c r="N156" s="410"/>
      <c r="O156" s="410"/>
      <c r="P156" s="410"/>
      <c r="Q156" s="410"/>
      <c r="R156" s="410"/>
      <c r="S156" s="410"/>
      <c r="T156" s="410"/>
      <c r="U156" s="410"/>
      <c r="V156" s="410"/>
      <c r="W156" s="410"/>
      <c r="X156" s="410"/>
      <c r="Y156" s="410"/>
      <c r="Z156" s="410"/>
      <c r="AA156" s="410"/>
      <c r="AB156" s="410"/>
      <c r="AC156" s="410"/>
      <c r="AD156" s="410"/>
      <c r="AE156" s="410"/>
      <c r="AF156" s="410"/>
      <c r="AG156" s="410"/>
      <c r="AH156" s="410"/>
      <c r="AI156" s="410"/>
      <c r="AJ156" s="410"/>
      <c r="AK156" s="410"/>
      <c r="AL156" s="410"/>
      <c r="AM156" s="410"/>
      <c r="AN156" s="410"/>
      <c r="AO156" s="410"/>
      <c r="AP156" s="410"/>
      <c r="AQ156" s="410"/>
      <c r="AR156" s="410"/>
      <c r="AS156" s="410"/>
      <c r="AT156" s="410"/>
      <c r="AU156" s="410"/>
    </row>
    <row r="157" spans="1:47" s="154" customFormat="1" ht="19.5" customHeight="1">
      <c r="A157" s="79"/>
      <c r="B157" s="82" t="s">
        <v>69</v>
      </c>
      <c r="C157" s="86"/>
      <c r="D157" s="159">
        <f>SUM(D158:D163)</f>
        <v>590</v>
      </c>
      <c r="E157" s="382"/>
      <c r="F157" s="159">
        <f>SUM(F158:F163)</f>
        <v>276364</v>
      </c>
      <c r="G157" s="382"/>
      <c r="H157" s="28"/>
      <c r="I157" s="379"/>
      <c r="J157" s="379"/>
      <c r="K157" s="394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</row>
    <row r="158" spans="1:47" s="154" customFormat="1" ht="19.5" customHeight="1">
      <c r="A158" s="84"/>
      <c r="B158" s="82"/>
      <c r="C158" s="86" t="s">
        <v>349</v>
      </c>
      <c r="D158" s="159"/>
      <c r="E158" s="382"/>
      <c r="F158" s="159">
        <v>19410</v>
      </c>
      <c r="G158" s="382"/>
      <c r="H158" s="28"/>
      <c r="I158" s="379"/>
      <c r="J158" s="379"/>
      <c r="K158" s="394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</row>
    <row r="159" spans="1:47" s="154" customFormat="1" ht="19.5" customHeight="1">
      <c r="A159" s="84"/>
      <c r="B159" s="85"/>
      <c r="C159" s="86" t="s">
        <v>71</v>
      </c>
      <c r="D159" s="159"/>
      <c r="E159" s="382"/>
      <c r="F159" s="159">
        <f>201000+43283+1000</f>
        <v>245283</v>
      </c>
      <c r="G159" s="382"/>
      <c r="H159" s="28"/>
      <c r="I159" s="379"/>
      <c r="J159" s="379"/>
      <c r="K159" s="394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</row>
    <row r="160" spans="1:47" s="154" customFormat="1" ht="19.5" customHeight="1">
      <c r="A160" s="84"/>
      <c r="B160" s="85"/>
      <c r="C160" s="86" t="s">
        <v>72</v>
      </c>
      <c r="D160" s="159"/>
      <c r="E160" s="382"/>
      <c r="F160" s="159">
        <f>2050+5545+2500</f>
        <v>10095</v>
      </c>
      <c r="G160" s="382"/>
      <c r="H160" s="28"/>
      <c r="I160" s="379"/>
      <c r="J160" s="379"/>
      <c r="K160" s="394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</row>
    <row r="161" spans="1:47" s="154" customFormat="1" ht="19.5" customHeight="1">
      <c r="A161" s="84"/>
      <c r="B161" s="85"/>
      <c r="C161" s="86" t="s">
        <v>73</v>
      </c>
      <c r="D161" s="159">
        <f>690-100</f>
        <v>590</v>
      </c>
      <c r="E161" s="382"/>
      <c r="F161" s="159"/>
      <c r="G161" s="382"/>
      <c r="H161" s="28"/>
      <c r="I161" s="379"/>
      <c r="J161" s="379"/>
      <c r="K161" s="394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</row>
    <row r="162" spans="1:47" s="154" customFormat="1" ht="19.5" customHeight="1">
      <c r="A162" s="84"/>
      <c r="B162" s="85"/>
      <c r="C162" s="86" t="s">
        <v>279</v>
      </c>
      <c r="D162" s="159"/>
      <c r="E162" s="382"/>
      <c r="F162" s="159">
        <v>645</v>
      </c>
      <c r="G162" s="382"/>
      <c r="H162" s="28"/>
      <c r="I162" s="379"/>
      <c r="J162" s="379"/>
      <c r="K162" s="394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</row>
    <row r="163" spans="1:47" s="154" customFormat="1" ht="19.5" customHeight="1">
      <c r="A163" s="84"/>
      <c r="B163" s="85"/>
      <c r="C163" s="86" t="s">
        <v>286</v>
      </c>
      <c r="D163" s="159"/>
      <c r="E163" s="382"/>
      <c r="F163" s="159">
        <v>931</v>
      </c>
      <c r="G163" s="382"/>
      <c r="H163" s="28"/>
      <c r="I163" s="379"/>
      <c r="J163" s="379"/>
      <c r="K163" s="394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</row>
    <row r="164" spans="1:47" s="154" customFormat="1" ht="19.5" customHeight="1">
      <c r="A164" s="84"/>
      <c r="B164" s="86" t="s">
        <v>247</v>
      </c>
      <c r="C164" s="86"/>
      <c r="D164" s="159">
        <f>SUM(D165:D170)</f>
        <v>0</v>
      </c>
      <c r="E164" s="382"/>
      <c r="F164" s="159">
        <f>SUM(F165:F170)</f>
        <v>47878</v>
      </c>
      <c r="G164" s="382"/>
      <c r="H164" s="28"/>
      <c r="I164" s="379"/>
      <c r="J164" s="379"/>
      <c r="K164" s="394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</row>
    <row r="165" spans="1:47" s="154" customFormat="1" ht="19.5" customHeight="1">
      <c r="A165" s="84"/>
      <c r="B165" s="85"/>
      <c r="C165" s="86" t="s">
        <v>349</v>
      </c>
      <c r="D165" s="159"/>
      <c r="E165" s="382"/>
      <c r="F165" s="159">
        <f>7400-3800</f>
        <v>3600</v>
      </c>
      <c r="G165" s="382"/>
      <c r="H165" s="28"/>
      <c r="I165" s="379"/>
      <c r="J165" s="379"/>
      <c r="K165" s="394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</row>
    <row r="166" spans="1:47" s="154" customFormat="1" ht="19.5" customHeight="1">
      <c r="A166" s="84"/>
      <c r="B166" s="85"/>
      <c r="C166" s="86" t="s">
        <v>285</v>
      </c>
      <c r="D166" s="159"/>
      <c r="E166" s="382"/>
      <c r="F166" s="159">
        <v>1300</v>
      </c>
      <c r="G166" s="382"/>
      <c r="H166" s="28"/>
      <c r="I166" s="379"/>
      <c r="J166" s="379"/>
      <c r="K166" s="394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</row>
    <row r="167" spans="1:47" s="154" customFormat="1" ht="19.5" customHeight="1">
      <c r="A167" s="84"/>
      <c r="B167" s="85"/>
      <c r="C167" s="86" t="s">
        <v>71</v>
      </c>
      <c r="D167" s="159"/>
      <c r="E167" s="382"/>
      <c r="F167" s="159">
        <f>22200+5500</f>
        <v>27700</v>
      </c>
      <c r="G167" s="382"/>
      <c r="H167" s="28"/>
      <c r="I167" s="379"/>
      <c r="J167" s="379"/>
      <c r="K167" s="394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</row>
    <row r="168" spans="1:47" s="154" customFormat="1" ht="19.5" customHeight="1">
      <c r="A168" s="84"/>
      <c r="B168" s="85"/>
      <c r="C168" s="86" t="s">
        <v>283</v>
      </c>
      <c r="D168" s="159"/>
      <c r="E168" s="382"/>
      <c r="F168" s="159">
        <v>3278</v>
      </c>
      <c r="G168" s="382"/>
      <c r="H168" s="28"/>
      <c r="I168" s="379"/>
      <c r="J168" s="379"/>
      <c r="K168" s="394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</row>
    <row r="169" spans="1:47" s="154" customFormat="1" ht="19.5" customHeight="1">
      <c r="A169" s="84"/>
      <c r="B169" s="85"/>
      <c r="C169" s="86" t="s">
        <v>287</v>
      </c>
      <c r="D169" s="159"/>
      <c r="E169" s="382"/>
      <c r="F169" s="159">
        <v>4000</v>
      </c>
      <c r="G169" s="382"/>
      <c r="H169" s="28"/>
      <c r="I169" s="379"/>
      <c r="J169" s="379"/>
      <c r="K169" s="394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</row>
    <row r="170" spans="1:47" s="154" customFormat="1" ht="19.5" customHeight="1">
      <c r="A170" s="84"/>
      <c r="B170" s="85"/>
      <c r="C170" s="86" t="s">
        <v>354</v>
      </c>
      <c r="D170" s="159"/>
      <c r="E170" s="382"/>
      <c r="F170" s="159">
        <v>8000</v>
      </c>
      <c r="G170" s="382"/>
      <c r="H170" s="28"/>
      <c r="I170" s="379"/>
      <c r="J170" s="379"/>
      <c r="K170" s="394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</row>
    <row r="171" spans="1:47" s="154" customFormat="1" ht="19.5" customHeight="1">
      <c r="A171" s="84"/>
      <c r="B171" s="82" t="s">
        <v>274</v>
      </c>
      <c r="C171" s="86"/>
      <c r="D171" s="159">
        <f>SUM(D172:D177)</f>
        <v>3000</v>
      </c>
      <c r="E171" s="382"/>
      <c r="F171" s="159">
        <f>SUM(F172:F177)</f>
        <v>33884</v>
      </c>
      <c r="G171" s="382"/>
      <c r="H171" s="28"/>
      <c r="I171" s="379"/>
      <c r="J171" s="379"/>
      <c r="K171" s="394"/>
      <c r="L171" s="379"/>
      <c r="M171" s="379"/>
      <c r="N171" s="379"/>
      <c r="O171" s="379"/>
      <c r="P171" s="379"/>
      <c r="Q171" s="379"/>
      <c r="R171" s="379"/>
      <c r="S171" s="379"/>
      <c r="T171" s="379"/>
      <c r="U171" s="379"/>
      <c r="V171" s="379"/>
      <c r="W171" s="379"/>
      <c r="X171" s="379"/>
      <c r="Y171" s="379"/>
      <c r="Z171" s="379"/>
      <c r="AA171" s="379"/>
      <c r="AB171" s="379"/>
      <c r="AC171" s="379"/>
      <c r="AD171" s="379"/>
      <c r="AE171" s="379"/>
      <c r="AF171" s="379"/>
      <c r="AG171" s="379"/>
      <c r="AH171" s="379"/>
      <c r="AI171" s="379"/>
      <c r="AJ171" s="379"/>
      <c r="AK171" s="379"/>
      <c r="AL171" s="379"/>
      <c r="AM171" s="379"/>
      <c r="AN171" s="379"/>
      <c r="AO171" s="379"/>
      <c r="AP171" s="379"/>
      <c r="AQ171" s="379"/>
      <c r="AR171" s="379"/>
      <c r="AS171" s="379"/>
      <c r="AT171" s="379"/>
      <c r="AU171" s="379"/>
    </row>
    <row r="172" spans="1:47" s="154" customFormat="1" ht="19.5" customHeight="1">
      <c r="A172" s="84"/>
      <c r="B172" s="82"/>
      <c r="C172" s="86" t="s">
        <v>349</v>
      </c>
      <c r="D172" s="159"/>
      <c r="E172" s="382"/>
      <c r="F172" s="159">
        <v>1000</v>
      </c>
      <c r="G172" s="382"/>
      <c r="H172" s="28"/>
      <c r="I172" s="379"/>
      <c r="J172" s="379"/>
      <c r="K172" s="394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  <c r="AA172" s="379"/>
      <c r="AB172" s="379"/>
      <c r="AC172" s="379"/>
      <c r="AD172" s="379"/>
      <c r="AE172" s="379"/>
      <c r="AF172" s="379"/>
      <c r="AG172" s="379"/>
      <c r="AH172" s="379"/>
      <c r="AI172" s="379"/>
      <c r="AJ172" s="379"/>
      <c r="AK172" s="379"/>
      <c r="AL172" s="379"/>
      <c r="AM172" s="379"/>
      <c r="AN172" s="379"/>
      <c r="AO172" s="379"/>
      <c r="AP172" s="379"/>
      <c r="AQ172" s="379"/>
      <c r="AR172" s="379"/>
      <c r="AS172" s="379"/>
      <c r="AT172" s="379"/>
      <c r="AU172" s="379"/>
    </row>
    <row r="173" spans="1:47" s="154" customFormat="1" ht="19.5" customHeight="1">
      <c r="A173" s="84"/>
      <c r="B173" s="85"/>
      <c r="C173" s="86" t="s">
        <v>71</v>
      </c>
      <c r="D173" s="159"/>
      <c r="E173" s="382"/>
      <c r="F173" s="159">
        <v>32834</v>
      </c>
      <c r="G173" s="382"/>
      <c r="H173" s="28"/>
      <c r="I173" s="379"/>
      <c r="J173" s="379"/>
      <c r="K173" s="394"/>
      <c r="L173" s="379"/>
      <c r="M173" s="379"/>
      <c r="N173" s="379"/>
      <c r="O173" s="379"/>
      <c r="P173" s="379"/>
      <c r="Q173" s="379"/>
      <c r="R173" s="379"/>
      <c r="S173" s="379"/>
      <c r="T173" s="379"/>
      <c r="U173" s="379"/>
      <c r="V173" s="379"/>
      <c r="W173" s="379"/>
      <c r="X173" s="379"/>
      <c r="Y173" s="379"/>
      <c r="Z173" s="379"/>
      <c r="AA173" s="379"/>
      <c r="AB173" s="379"/>
      <c r="AC173" s="379"/>
      <c r="AD173" s="379"/>
      <c r="AE173" s="379"/>
      <c r="AF173" s="379"/>
      <c r="AG173" s="379"/>
      <c r="AH173" s="379"/>
      <c r="AI173" s="379"/>
      <c r="AJ173" s="379"/>
      <c r="AK173" s="379"/>
      <c r="AL173" s="379"/>
      <c r="AM173" s="379"/>
      <c r="AN173" s="379"/>
      <c r="AO173" s="379"/>
      <c r="AP173" s="379"/>
      <c r="AQ173" s="379"/>
      <c r="AR173" s="379"/>
      <c r="AS173" s="379"/>
      <c r="AT173" s="379"/>
      <c r="AU173" s="379"/>
    </row>
    <row r="174" spans="1:47" s="154" customFormat="1" ht="19.5" customHeight="1">
      <c r="A174" s="84"/>
      <c r="B174" s="85"/>
      <c r="C174" s="86" t="s">
        <v>73</v>
      </c>
      <c r="D174" s="159">
        <v>1000</v>
      </c>
      <c r="E174" s="382"/>
      <c r="F174" s="159"/>
      <c r="G174" s="382"/>
      <c r="H174" s="28"/>
      <c r="I174" s="379"/>
      <c r="J174" s="379"/>
      <c r="K174" s="394"/>
      <c r="L174" s="379"/>
      <c r="M174" s="379"/>
      <c r="N174" s="379"/>
      <c r="O174" s="379"/>
      <c r="P174" s="379"/>
      <c r="Q174" s="379"/>
      <c r="R174" s="379"/>
      <c r="S174" s="379"/>
      <c r="T174" s="379"/>
      <c r="U174" s="379"/>
      <c r="V174" s="379"/>
      <c r="W174" s="379"/>
      <c r="X174" s="379"/>
      <c r="Y174" s="379"/>
      <c r="Z174" s="379"/>
      <c r="AA174" s="379"/>
      <c r="AB174" s="379"/>
      <c r="AC174" s="379"/>
      <c r="AD174" s="379"/>
      <c r="AE174" s="379"/>
      <c r="AF174" s="379"/>
      <c r="AG174" s="379"/>
      <c r="AH174" s="379"/>
      <c r="AI174" s="379"/>
      <c r="AJ174" s="379"/>
      <c r="AK174" s="379"/>
      <c r="AL174" s="379"/>
      <c r="AM174" s="379"/>
      <c r="AN174" s="379"/>
      <c r="AO174" s="379"/>
      <c r="AP174" s="379"/>
      <c r="AQ174" s="379"/>
      <c r="AR174" s="379"/>
      <c r="AS174" s="379"/>
      <c r="AT174" s="379"/>
      <c r="AU174" s="379"/>
    </row>
    <row r="175" spans="1:47" s="154" customFormat="1" ht="19.5" customHeight="1">
      <c r="A175" s="84"/>
      <c r="B175" s="85"/>
      <c r="C175" s="86" t="s">
        <v>279</v>
      </c>
      <c r="D175" s="159">
        <v>1000</v>
      </c>
      <c r="E175" s="382"/>
      <c r="F175" s="159"/>
      <c r="G175" s="382"/>
      <c r="H175" s="28"/>
      <c r="I175" s="379"/>
      <c r="J175" s="379"/>
      <c r="K175" s="394"/>
      <c r="L175" s="379"/>
      <c r="M175" s="379"/>
      <c r="N175" s="379"/>
      <c r="O175" s="379"/>
      <c r="P175" s="379"/>
      <c r="Q175" s="379"/>
      <c r="R175" s="379"/>
      <c r="S175" s="379"/>
      <c r="T175" s="379"/>
      <c r="U175" s="379"/>
      <c r="V175" s="379"/>
      <c r="W175" s="379"/>
      <c r="X175" s="379"/>
      <c r="Y175" s="379"/>
      <c r="Z175" s="379"/>
      <c r="AA175" s="379"/>
      <c r="AB175" s="379"/>
      <c r="AC175" s="379"/>
      <c r="AD175" s="379"/>
      <c r="AE175" s="379"/>
      <c r="AF175" s="379"/>
      <c r="AG175" s="379"/>
      <c r="AH175" s="379"/>
      <c r="AI175" s="379"/>
      <c r="AJ175" s="379"/>
      <c r="AK175" s="379"/>
      <c r="AL175" s="379"/>
      <c r="AM175" s="379"/>
      <c r="AN175" s="379"/>
      <c r="AO175" s="379"/>
      <c r="AP175" s="379"/>
      <c r="AQ175" s="379"/>
      <c r="AR175" s="379"/>
      <c r="AS175" s="379"/>
      <c r="AT175" s="379"/>
      <c r="AU175" s="379"/>
    </row>
    <row r="176" spans="1:47" s="154" customFormat="1" ht="19.5" customHeight="1">
      <c r="A176" s="84"/>
      <c r="B176" s="85"/>
      <c r="C176" s="86" t="s">
        <v>252</v>
      </c>
      <c r="D176" s="159"/>
      <c r="E176" s="382"/>
      <c r="F176" s="159">
        <v>50</v>
      </c>
      <c r="G176" s="382"/>
      <c r="H176" s="28"/>
      <c r="I176" s="379"/>
      <c r="J176" s="379"/>
      <c r="K176" s="394"/>
      <c r="L176" s="379"/>
      <c r="M176" s="379"/>
      <c r="N176" s="379"/>
      <c r="O176" s="379"/>
      <c r="P176" s="379"/>
      <c r="Q176" s="379"/>
      <c r="R176" s="379"/>
      <c r="S176" s="379"/>
      <c r="T176" s="379"/>
      <c r="U176" s="379"/>
      <c r="V176" s="379"/>
      <c r="W176" s="379"/>
      <c r="X176" s="379"/>
      <c r="Y176" s="379"/>
      <c r="Z176" s="379"/>
      <c r="AA176" s="379"/>
      <c r="AB176" s="379"/>
      <c r="AC176" s="379"/>
      <c r="AD176" s="379"/>
      <c r="AE176" s="379"/>
      <c r="AF176" s="379"/>
      <c r="AG176" s="379"/>
      <c r="AH176" s="379"/>
      <c r="AI176" s="379"/>
      <c r="AJ176" s="379"/>
      <c r="AK176" s="379"/>
      <c r="AL176" s="379"/>
      <c r="AM176" s="379"/>
      <c r="AN176" s="379"/>
      <c r="AO176" s="379"/>
      <c r="AP176" s="379"/>
      <c r="AQ176" s="379"/>
      <c r="AR176" s="379"/>
      <c r="AS176" s="379"/>
      <c r="AT176" s="379"/>
      <c r="AU176" s="379"/>
    </row>
    <row r="177" spans="1:47" s="154" customFormat="1" ht="19.5" customHeight="1">
      <c r="A177" s="84"/>
      <c r="B177" s="85"/>
      <c r="C177" s="86" t="s">
        <v>284</v>
      </c>
      <c r="D177" s="159">
        <v>1000</v>
      </c>
      <c r="E177" s="382"/>
      <c r="F177" s="159"/>
      <c r="G177" s="382"/>
      <c r="H177" s="28"/>
      <c r="I177" s="379"/>
      <c r="J177" s="379"/>
      <c r="K177" s="394"/>
      <c r="L177" s="379"/>
      <c r="M177" s="379"/>
      <c r="N177" s="379"/>
      <c r="O177" s="379"/>
      <c r="P177" s="379"/>
      <c r="Q177" s="379"/>
      <c r="R177" s="379"/>
      <c r="S177" s="379"/>
      <c r="T177" s="379"/>
      <c r="U177" s="379"/>
      <c r="V177" s="379"/>
      <c r="W177" s="379"/>
      <c r="X177" s="379"/>
      <c r="Y177" s="379"/>
      <c r="Z177" s="379"/>
      <c r="AA177" s="379"/>
      <c r="AB177" s="379"/>
      <c r="AC177" s="379"/>
      <c r="AD177" s="379"/>
      <c r="AE177" s="379"/>
      <c r="AF177" s="379"/>
      <c r="AG177" s="379"/>
      <c r="AH177" s="379"/>
      <c r="AI177" s="379"/>
      <c r="AJ177" s="379"/>
      <c r="AK177" s="379"/>
      <c r="AL177" s="379"/>
      <c r="AM177" s="379"/>
      <c r="AN177" s="379"/>
      <c r="AO177" s="379"/>
      <c r="AP177" s="379"/>
      <c r="AQ177" s="379"/>
      <c r="AR177" s="379"/>
      <c r="AS177" s="379"/>
      <c r="AT177" s="379"/>
      <c r="AU177" s="379"/>
    </row>
    <row r="178" spans="1:47" s="154" customFormat="1" ht="19.5" customHeight="1">
      <c r="A178" s="84"/>
      <c r="B178" s="146" t="s">
        <v>219</v>
      </c>
      <c r="C178" s="83"/>
      <c r="D178" s="159">
        <f>SUM(D179:D182)</f>
        <v>10995</v>
      </c>
      <c r="E178" s="382"/>
      <c r="F178" s="159">
        <f>SUM(F179:F182)</f>
        <v>2307</v>
      </c>
      <c r="G178" s="382"/>
      <c r="H178" s="28"/>
      <c r="I178" s="379"/>
      <c r="J178" s="379"/>
      <c r="K178" s="394"/>
      <c r="L178" s="379"/>
      <c r="M178" s="379"/>
      <c r="N178" s="379"/>
      <c r="O178" s="379"/>
      <c r="P178" s="379"/>
      <c r="Q178" s="379"/>
      <c r="R178" s="379"/>
      <c r="S178" s="379"/>
      <c r="T178" s="379"/>
      <c r="U178" s="379"/>
      <c r="V178" s="379"/>
      <c r="W178" s="379"/>
      <c r="X178" s="379"/>
      <c r="Y178" s="379"/>
      <c r="Z178" s="379"/>
      <c r="AA178" s="379"/>
      <c r="AB178" s="379"/>
      <c r="AC178" s="379"/>
      <c r="AD178" s="379"/>
      <c r="AE178" s="379"/>
      <c r="AF178" s="379"/>
      <c r="AG178" s="379"/>
      <c r="AH178" s="379"/>
      <c r="AI178" s="379"/>
      <c r="AJ178" s="379"/>
      <c r="AK178" s="379"/>
      <c r="AL178" s="379"/>
      <c r="AM178" s="379"/>
      <c r="AN178" s="379"/>
      <c r="AO178" s="379"/>
      <c r="AP178" s="379"/>
      <c r="AQ178" s="379"/>
      <c r="AR178" s="379"/>
      <c r="AS178" s="379"/>
      <c r="AT178" s="379"/>
      <c r="AU178" s="379"/>
    </row>
    <row r="179" spans="1:47" s="154" customFormat="1" ht="19.5" customHeight="1">
      <c r="A179" s="84"/>
      <c r="B179" s="85"/>
      <c r="C179" s="86" t="s">
        <v>71</v>
      </c>
      <c r="D179" s="159"/>
      <c r="E179" s="382"/>
      <c r="F179" s="159">
        <v>564</v>
      </c>
      <c r="G179" s="382"/>
      <c r="H179" s="28"/>
      <c r="I179" s="379"/>
      <c r="J179" s="379"/>
      <c r="K179" s="394"/>
      <c r="L179" s="379"/>
      <c r="M179" s="379"/>
      <c r="N179" s="379"/>
      <c r="O179" s="379"/>
      <c r="P179" s="379"/>
      <c r="Q179" s="379"/>
      <c r="R179" s="379"/>
      <c r="S179" s="379"/>
      <c r="T179" s="379"/>
      <c r="U179" s="379"/>
      <c r="V179" s="379"/>
      <c r="W179" s="379"/>
      <c r="X179" s="379"/>
      <c r="Y179" s="379"/>
      <c r="Z179" s="379"/>
      <c r="AA179" s="379"/>
      <c r="AB179" s="379"/>
      <c r="AC179" s="379"/>
      <c r="AD179" s="379"/>
      <c r="AE179" s="379"/>
      <c r="AF179" s="379"/>
      <c r="AG179" s="379"/>
      <c r="AH179" s="379"/>
      <c r="AI179" s="379"/>
      <c r="AJ179" s="379"/>
      <c r="AK179" s="379"/>
      <c r="AL179" s="379"/>
      <c r="AM179" s="379"/>
      <c r="AN179" s="379"/>
      <c r="AO179" s="379"/>
      <c r="AP179" s="379"/>
      <c r="AQ179" s="379"/>
      <c r="AR179" s="379"/>
      <c r="AS179" s="379"/>
      <c r="AT179" s="379"/>
      <c r="AU179" s="379"/>
    </row>
    <row r="180" spans="1:47" s="154" customFormat="1" ht="19.5" customHeight="1">
      <c r="A180" s="84"/>
      <c r="B180" s="85"/>
      <c r="C180" s="83" t="s">
        <v>72</v>
      </c>
      <c r="D180" s="159"/>
      <c r="E180" s="382"/>
      <c r="F180" s="159">
        <v>1743</v>
      </c>
      <c r="G180" s="382"/>
      <c r="H180" s="28"/>
      <c r="I180" s="379"/>
      <c r="J180" s="379"/>
      <c r="K180" s="394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79"/>
      <c r="AN180" s="379"/>
      <c r="AO180" s="379"/>
      <c r="AP180" s="379"/>
      <c r="AQ180" s="379"/>
      <c r="AR180" s="379"/>
      <c r="AS180" s="379"/>
      <c r="AT180" s="379"/>
      <c r="AU180" s="379"/>
    </row>
    <row r="181" spans="1:47" s="154" customFormat="1" ht="19.5" customHeight="1">
      <c r="A181" s="84"/>
      <c r="B181" s="85"/>
      <c r="C181" s="83" t="s">
        <v>73</v>
      </c>
      <c r="D181" s="159">
        <v>995</v>
      </c>
      <c r="E181" s="382"/>
      <c r="F181" s="159"/>
      <c r="G181" s="382"/>
      <c r="H181" s="28"/>
      <c r="I181" s="379"/>
      <c r="J181" s="379"/>
      <c r="K181" s="394"/>
      <c r="L181" s="379"/>
      <c r="M181" s="379"/>
      <c r="N181" s="379"/>
      <c r="O181" s="379"/>
      <c r="P181" s="379"/>
      <c r="Q181" s="379"/>
      <c r="R181" s="379"/>
      <c r="S181" s="379"/>
      <c r="T181" s="379"/>
      <c r="U181" s="379"/>
      <c r="V181" s="379"/>
      <c r="W181" s="379"/>
      <c r="X181" s="379"/>
      <c r="Y181" s="379"/>
      <c r="Z181" s="379"/>
      <c r="AA181" s="379"/>
      <c r="AB181" s="379"/>
      <c r="AC181" s="379"/>
      <c r="AD181" s="379"/>
      <c r="AE181" s="379"/>
      <c r="AF181" s="379"/>
      <c r="AG181" s="379"/>
      <c r="AH181" s="379"/>
      <c r="AI181" s="379"/>
      <c r="AJ181" s="379"/>
      <c r="AK181" s="379"/>
      <c r="AL181" s="379"/>
      <c r="AM181" s="379"/>
      <c r="AN181" s="379"/>
      <c r="AO181" s="379"/>
      <c r="AP181" s="379"/>
      <c r="AQ181" s="379"/>
      <c r="AR181" s="379"/>
      <c r="AS181" s="379"/>
      <c r="AT181" s="379"/>
      <c r="AU181" s="379"/>
    </row>
    <row r="182" spans="1:47" s="154" customFormat="1" ht="19.5" customHeight="1">
      <c r="A182" s="84"/>
      <c r="B182" s="85"/>
      <c r="C182" s="83" t="s">
        <v>283</v>
      </c>
      <c r="D182" s="159">
        <v>10000</v>
      </c>
      <c r="E182" s="382"/>
      <c r="F182" s="159"/>
      <c r="G182" s="382"/>
      <c r="H182" s="28"/>
      <c r="I182" s="379"/>
      <c r="J182" s="379"/>
      <c r="K182" s="394"/>
      <c r="L182" s="379"/>
      <c r="M182" s="379"/>
      <c r="N182" s="379"/>
      <c r="O182" s="379"/>
      <c r="P182" s="379"/>
      <c r="Q182" s="379"/>
      <c r="R182" s="379"/>
      <c r="S182" s="379"/>
      <c r="T182" s="379"/>
      <c r="U182" s="379"/>
      <c r="V182" s="379"/>
      <c r="W182" s="379"/>
      <c r="X182" s="379"/>
      <c r="Y182" s="379"/>
      <c r="Z182" s="379"/>
      <c r="AA182" s="379"/>
      <c r="AB182" s="379"/>
      <c r="AC182" s="379"/>
      <c r="AD182" s="379"/>
      <c r="AE182" s="379"/>
      <c r="AF182" s="379"/>
      <c r="AG182" s="379"/>
      <c r="AH182" s="379"/>
      <c r="AI182" s="379"/>
      <c r="AJ182" s="379"/>
      <c r="AK182" s="379"/>
      <c r="AL182" s="379"/>
      <c r="AM182" s="379"/>
      <c r="AN182" s="379"/>
      <c r="AO182" s="379"/>
      <c r="AP182" s="379"/>
      <c r="AQ182" s="379"/>
      <c r="AR182" s="379"/>
      <c r="AS182" s="379"/>
      <c r="AT182" s="379"/>
      <c r="AU182" s="379"/>
    </row>
    <row r="183" spans="1:47" s="154" customFormat="1" ht="19.5" customHeight="1">
      <c r="A183" s="84"/>
      <c r="B183" s="83" t="s">
        <v>289</v>
      </c>
      <c r="C183" s="83"/>
      <c r="D183" s="159">
        <f>SUM(D184:D186)</f>
        <v>56719</v>
      </c>
      <c r="E183" s="382"/>
      <c r="F183" s="159">
        <f>SUM(F184:F186)</f>
        <v>0</v>
      </c>
      <c r="G183" s="382"/>
      <c r="H183" s="28"/>
      <c r="I183" s="379"/>
      <c r="J183" s="379"/>
      <c r="K183" s="394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  <c r="AA183" s="379"/>
      <c r="AB183" s="379"/>
      <c r="AC183" s="379"/>
      <c r="AD183" s="379"/>
      <c r="AE183" s="379"/>
      <c r="AF183" s="379"/>
      <c r="AG183" s="379"/>
      <c r="AH183" s="379"/>
      <c r="AI183" s="379"/>
      <c r="AJ183" s="379"/>
      <c r="AK183" s="379"/>
      <c r="AL183" s="379"/>
      <c r="AM183" s="379"/>
      <c r="AN183" s="379"/>
      <c r="AO183" s="379"/>
      <c r="AP183" s="379"/>
      <c r="AQ183" s="379"/>
      <c r="AR183" s="379"/>
      <c r="AS183" s="379"/>
      <c r="AT183" s="379"/>
      <c r="AU183" s="379"/>
    </row>
    <row r="184" spans="1:47" s="154" customFormat="1" ht="19.5" customHeight="1">
      <c r="A184" s="84"/>
      <c r="B184" s="85"/>
      <c r="C184" s="83" t="s">
        <v>71</v>
      </c>
      <c r="D184" s="159">
        <f>16395+30972</f>
        <v>47367</v>
      </c>
      <c r="E184" s="382"/>
      <c r="F184" s="159"/>
      <c r="G184" s="382"/>
      <c r="H184" s="28"/>
      <c r="I184" s="379"/>
      <c r="J184" s="379"/>
      <c r="K184" s="394"/>
      <c r="L184" s="379"/>
      <c r="M184" s="379"/>
      <c r="N184" s="379"/>
      <c r="O184" s="379"/>
      <c r="P184" s="379"/>
      <c r="Q184" s="379"/>
      <c r="R184" s="379"/>
      <c r="S184" s="379"/>
      <c r="T184" s="379"/>
      <c r="U184" s="379"/>
      <c r="V184" s="379"/>
      <c r="W184" s="379"/>
      <c r="X184" s="379"/>
      <c r="Y184" s="379"/>
      <c r="Z184" s="379"/>
      <c r="AA184" s="379"/>
      <c r="AB184" s="379"/>
      <c r="AC184" s="379"/>
      <c r="AD184" s="379"/>
      <c r="AE184" s="379"/>
      <c r="AF184" s="379"/>
      <c r="AG184" s="379"/>
      <c r="AH184" s="379"/>
      <c r="AI184" s="379"/>
      <c r="AJ184" s="379"/>
      <c r="AK184" s="379"/>
      <c r="AL184" s="379"/>
      <c r="AM184" s="379"/>
      <c r="AN184" s="379"/>
      <c r="AO184" s="379"/>
      <c r="AP184" s="379"/>
      <c r="AQ184" s="379"/>
      <c r="AR184" s="379"/>
      <c r="AS184" s="379"/>
      <c r="AT184" s="379"/>
      <c r="AU184" s="379"/>
    </row>
    <row r="185" spans="1:47" s="154" customFormat="1" ht="19.5" customHeight="1">
      <c r="A185" s="84"/>
      <c r="B185" s="85"/>
      <c r="C185" s="83" t="s">
        <v>72</v>
      </c>
      <c r="D185" s="159">
        <f>2490+5697</f>
        <v>8187</v>
      </c>
      <c r="E185" s="382"/>
      <c r="F185" s="159"/>
      <c r="G185" s="382"/>
      <c r="H185" s="28"/>
      <c r="I185" s="379"/>
      <c r="J185" s="379"/>
      <c r="K185" s="394"/>
      <c r="L185" s="379"/>
      <c r="M185" s="379"/>
      <c r="N185" s="379"/>
      <c r="O185" s="379"/>
      <c r="P185" s="379"/>
      <c r="Q185" s="379"/>
      <c r="R185" s="379"/>
      <c r="S185" s="379"/>
      <c r="T185" s="379"/>
      <c r="U185" s="379"/>
      <c r="V185" s="379"/>
      <c r="W185" s="379"/>
      <c r="X185" s="379"/>
      <c r="Y185" s="379"/>
      <c r="Z185" s="379"/>
      <c r="AA185" s="379"/>
      <c r="AB185" s="379"/>
      <c r="AC185" s="379"/>
      <c r="AD185" s="379"/>
      <c r="AE185" s="379"/>
      <c r="AF185" s="379"/>
      <c r="AG185" s="379"/>
      <c r="AH185" s="379"/>
      <c r="AI185" s="379"/>
      <c r="AJ185" s="379"/>
      <c r="AK185" s="379"/>
      <c r="AL185" s="379"/>
      <c r="AM185" s="379"/>
      <c r="AN185" s="379"/>
      <c r="AO185" s="379"/>
      <c r="AP185" s="379"/>
      <c r="AQ185" s="379"/>
      <c r="AR185" s="379"/>
      <c r="AS185" s="379"/>
      <c r="AT185" s="379"/>
      <c r="AU185" s="379"/>
    </row>
    <row r="186" spans="1:47" s="154" customFormat="1" ht="19.5" customHeight="1">
      <c r="A186" s="84"/>
      <c r="B186" s="85"/>
      <c r="C186" s="83" t="s">
        <v>73</v>
      </c>
      <c r="D186" s="159">
        <f>399+766</f>
        <v>1165</v>
      </c>
      <c r="E186" s="382"/>
      <c r="F186" s="159"/>
      <c r="G186" s="382"/>
      <c r="H186" s="28"/>
      <c r="I186" s="379"/>
      <c r="J186" s="379"/>
      <c r="K186" s="394"/>
      <c r="L186" s="379"/>
      <c r="M186" s="379"/>
      <c r="N186" s="379"/>
      <c r="O186" s="379"/>
      <c r="P186" s="379"/>
      <c r="Q186" s="379"/>
      <c r="R186" s="379"/>
      <c r="S186" s="379"/>
      <c r="T186" s="379"/>
      <c r="U186" s="379"/>
      <c r="V186" s="379"/>
      <c r="W186" s="379"/>
      <c r="X186" s="379"/>
      <c r="Y186" s="379"/>
      <c r="Z186" s="379"/>
      <c r="AA186" s="379"/>
      <c r="AB186" s="379"/>
      <c r="AC186" s="379"/>
      <c r="AD186" s="379"/>
      <c r="AE186" s="379"/>
      <c r="AF186" s="379"/>
      <c r="AG186" s="379"/>
      <c r="AH186" s="379"/>
      <c r="AI186" s="379"/>
      <c r="AJ186" s="379"/>
      <c r="AK186" s="379"/>
      <c r="AL186" s="379"/>
      <c r="AM186" s="379"/>
      <c r="AN186" s="379"/>
      <c r="AO186" s="379"/>
      <c r="AP186" s="379"/>
      <c r="AQ186" s="379"/>
      <c r="AR186" s="379"/>
      <c r="AS186" s="379"/>
      <c r="AT186" s="379"/>
      <c r="AU186" s="379"/>
    </row>
    <row r="187" spans="1:47" s="33" customFormat="1" ht="19.5" customHeight="1">
      <c r="A187" s="444" t="s">
        <v>277</v>
      </c>
      <c r="B187" s="114"/>
      <c r="C187" s="80"/>
      <c r="D187" s="91">
        <f>D188+D193+D194+D195</f>
        <v>475400</v>
      </c>
      <c r="E187" s="452"/>
      <c r="F187" s="91">
        <f>F188+F193+F194+F195</f>
        <v>10400</v>
      </c>
      <c r="G187" s="452"/>
      <c r="H187" s="29"/>
      <c r="I187" s="410"/>
      <c r="J187" s="410"/>
      <c r="K187" s="426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  <c r="AA187" s="410"/>
      <c r="AB187" s="410"/>
      <c r="AC187" s="410"/>
      <c r="AD187" s="410"/>
      <c r="AE187" s="410"/>
      <c r="AF187" s="410"/>
      <c r="AG187" s="410"/>
      <c r="AH187" s="410"/>
      <c r="AI187" s="410"/>
      <c r="AJ187" s="410"/>
      <c r="AK187" s="410"/>
      <c r="AL187" s="410"/>
      <c r="AM187" s="410"/>
      <c r="AN187" s="410"/>
      <c r="AO187" s="410"/>
      <c r="AP187" s="410"/>
      <c r="AQ187" s="410"/>
      <c r="AR187" s="410"/>
      <c r="AS187" s="410"/>
      <c r="AT187" s="410"/>
      <c r="AU187" s="410"/>
    </row>
    <row r="188" spans="1:47" s="154" customFormat="1" ht="19.5" customHeight="1">
      <c r="A188" s="79"/>
      <c r="B188" s="83" t="s">
        <v>333</v>
      </c>
      <c r="C188" s="83"/>
      <c r="D188" s="170">
        <f>SUM(D189:D192)</f>
        <v>22400</v>
      </c>
      <c r="E188" s="451"/>
      <c r="F188" s="170"/>
      <c r="G188" s="451"/>
      <c r="H188" s="28"/>
      <c r="I188" s="379"/>
      <c r="J188" s="379"/>
      <c r="K188" s="394"/>
      <c r="L188" s="379"/>
      <c r="M188" s="379"/>
      <c r="N188" s="379"/>
      <c r="O188" s="379"/>
      <c r="P188" s="379"/>
      <c r="Q188" s="379"/>
      <c r="R188" s="379"/>
      <c r="S188" s="379"/>
      <c r="T188" s="379"/>
      <c r="U188" s="379"/>
      <c r="V188" s="379"/>
      <c r="W188" s="379"/>
      <c r="X188" s="379"/>
      <c r="Y188" s="379"/>
      <c r="Z188" s="379"/>
      <c r="AA188" s="379"/>
      <c r="AB188" s="379"/>
      <c r="AC188" s="379"/>
      <c r="AD188" s="379"/>
      <c r="AE188" s="379"/>
      <c r="AF188" s="379"/>
      <c r="AG188" s="379"/>
      <c r="AH188" s="379"/>
      <c r="AI188" s="379"/>
      <c r="AJ188" s="379"/>
      <c r="AK188" s="379"/>
      <c r="AL188" s="379"/>
      <c r="AM188" s="379"/>
      <c r="AN188" s="379"/>
      <c r="AO188" s="379"/>
      <c r="AP188" s="379"/>
      <c r="AQ188" s="379"/>
      <c r="AR188" s="379"/>
      <c r="AS188" s="379"/>
      <c r="AT188" s="379"/>
      <c r="AU188" s="379"/>
    </row>
    <row r="189" spans="1:47" s="154" customFormat="1" ht="19.5" customHeight="1">
      <c r="A189" s="444"/>
      <c r="B189" s="85"/>
      <c r="C189" s="83" t="s">
        <v>285</v>
      </c>
      <c r="D189" s="170">
        <v>400</v>
      </c>
      <c r="E189" s="451"/>
      <c r="F189" s="170"/>
      <c r="G189" s="451"/>
      <c r="H189" s="28"/>
      <c r="I189" s="379"/>
      <c r="J189" s="379"/>
      <c r="K189" s="394"/>
      <c r="L189" s="379"/>
      <c r="M189" s="379"/>
      <c r="N189" s="379"/>
      <c r="O189" s="379"/>
      <c r="P189" s="379"/>
      <c r="Q189" s="379"/>
      <c r="R189" s="379"/>
      <c r="S189" s="379"/>
      <c r="T189" s="379"/>
      <c r="U189" s="379"/>
      <c r="V189" s="379"/>
      <c r="W189" s="379"/>
      <c r="X189" s="379"/>
      <c r="Y189" s="379"/>
      <c r="Z189" s="379"/>
      <c r="AA189" s="379"/>
      <c r="AB189" s="379"/>
      <c r="AC189" s="379"/>
      <c r="AD189" s="379"/>
      <c r="AE189" s="379"/>
      <c r="AF189" s="379"/>
      <c r="AG189" s="379"/>
      <c r="AH189" s="379"/>
      <c r="AI189" s="379"/>
      <c r="AJ189" s="379"/>
      <c r="AK189" s="379"/>
      <c r="AL189" s="379"/>
      <c r="AM189" s="379"/>
      <c r="AN189" s="379"/>
      <c r="AO189" s="379"/>
      <c r="AP189" s="379"/>
      <c r="AQ189" s="379"/>
      <c r="AR189" s="379"/>
      <c r="AS189" s="379"/>
      <c r="AT189" s="379"/>
      <c r="AU189" s="379"/>
    </row>
    <row r="190" spans="1:47" s="154" customFormat="1" ht="19.5" customHeight="1">
      <c r="A190" s="444"/>
      <c r="B190" s="85"/>
      <c r="C190" s="83" t="s">
        <v>346</v>
      </c>
      <c r="D190" s="170">
        <v>15000</v>
      </c>
      <c r="E190" s="451"/>
      <c r="F190" s="170"/>
      <c r="G190" s="451"/>
      <c r="H190" s="28"/>
      <c r="I190" s="379"/>
      <c r="J190" s="379"/>
      <c r="K190" s="394"/>
      <c r="L190" s="379"/>
      <c r="M190" s="379"/>
      <c r="N190" s="379"/>
      <c r="O190" s="379"/>
      <c r="P190" s="379"/>
      <c r="Q190" s="379"/>
      <c r="R190" s="379"/>
      <c r="S190" s="379"/>
      <c r="T190" s="379"/>
      <c r="U190" s="379"/>
      <c r="V190" s="379"/>
      <c r="W190" s="379"/>
      <c r="X190" s="379"/>
      <c r="Y190" s="379"/>
      <c r="Z190" s="379"/>
      <c r="AA190" s="379"/>
      <c r="AB190" s="379"/>
      <c r="AC190" s="379"/>
      <c r="AD190" s="379"/>
      <c r="AE190" s="379"/>
      <c r="AF190" s="379"/>
      <c r="AG190" s="379"/>
      <c r="AH190" s="379"/>
      <c r="AI190" s="379"/>
      <c r="AJ190" s="379"/>
      <c r="AK190" s="379"/>
      <c r="AL190" s="379"/>
      <c r="AM190" s="379"/>
      <c r="AN190" s="379"/>
      <c r="AO190" s="379"/>
      <c r="AP190" s="379"/>
      <c r="AQ190" s="379"/>
      <c r="AR190" s="379"/>
      <c r="AS190" s="379"/>
      <c r="AT190" s="379"/>
      <c r="AU190" s="379"/>
    </row>
    <row r="191" spans="1:47" s="154" customFormat="1" ht="19.5" customHeight="1">
      <c r="A191" s="84"/>
      <c r="B191" s="85"/>
      <c r="C191" s="83" t="s">
        <v>306</v>
      </c>
      <c r="D191" s="170">
        <v>500</v>
      </c>
      <c r="E191" s="451"/>
      <c r="F191" s="170"/>
      <c r="G191" s="451"/>
      <c r="H191" s="28"/>
      <c r="I191" s="379"/>
      <c r="J191" s="379"/>
      <c r="K191" s="394"/>
      <c r="L191" s="379"/>
      <c r="M191" s="379"/>
      <c r="N191" s="379"/>
      <c r="O191" s="379"/>
      <c r="P191" s="379"/>
      <c r="Q191" s="379"/>
      <c r="R191" s="379"/>
      <c r="S191" s="379"/>
      <c r="T191" s="379"/>
      <c r="U191" s="379"/>
      <c r="V191" s="379"/>
      <c r="W191" s="379"/>
      <c r="X191" s="379"/>
      <c r="Y191" s="379"/>
      <c r="Z191" s="379"/>
      <c r="AA191" s="379"/>
      <c r="AB191" s="379"/>
      <c r="AC191" s="379"/>
      <c r="AD191" s="379"/>
      <c r="AE191" s="379"/>
      <c r="AF191" s="379"/>
      <c r="AG191" s="379"/>
      <c r="AH191" s="379"/>
      <c r="AI191" s="379"/>
      <c r="AJ191" s="379"/>
      <c r="AK191" s="379"/>
      <c r="AL191" s="379"/>
      <c r="AM191" s="379"/>
      <c r="AN191" s="379"/>
      <c r="AO191" s="379"/>
      <c r="AP191" s="379"/>
      <c r="AQ191" s="379"/>
      <c r="AR191" s="379"/>
      <c r="AS191" s="379"/>
      <c r="AT191" s="379"/>
      <c r="AU191" s="379"/>
    </row>
    <row r="192" spans="1:47" s="154" customFormat="1" ht="19.5" customHeight="1">
      <c r="A192" s="84"/>
      <c r="B192" s="85"/>
      <c r="C192" s="83" t="s">
        <v>334</v>
      </c>
      <c r="D192" s="170">
        <v>6500</v>
      </c>
      <c r="E192" s="451"/>
      <c r="F192" s="170"/>
      <c r="G192" s="451"/>
      <c r="H192" s="28"/>
      <c r="I192" s="379"/>
      <c r="J192" s="379"/>
      <c r="K192" s="394"/>
      <c r="L192" s="379"/>
      <c r="M192" s="379"/>
      <c r="N192" s="379"/>
      <c r="O192" s="379"/>
      <c r="P192" s="379"/>
      <c r="Q192" s="379"/>
      <c r="R192" s="379"/>
      <c r="S192" s="379"/>
      <c r="T192" s="379"/>
      <c r="U192" s="379"/>
      <c r="V192" s="379"/>
      <c r="W192" s="379"/>
      <c r="X192" s="379"/>
      <c r="Y192" s="379"/>
      <c r="Z192" s="379"/>
      <c r="AA192" s="379"/>
      <c r="AB192" s="379"/>
      <c r="AC192" s="379"/>
      <c r="AD192" s="379"/>
      <c r="AE192" s="379"/>
      <c r="AF192" s="379"/>
      <c r="AG192" s="379"/>
      <c r="AH192" s="379"/>
      <c r="AI192" s="379"/>
      <c r="AJ192" s="379"/>
      <c r="AK192" s="379"/>
      <c r="AL192" s="379"/>
      <c r="AM192" s="379"/>
      <c r="AN192" s="379"/>
      <c r="AO192" s="379"/>
      <c r="AP192" s="379"/>
      <c r="AQ192" s="379"/>
      <c r="AR192" s="379"/>
      <c r="AS192" s="379"/>
      <c r="AT192" s="379"/>
      <c r="AU192" s="379"/>
    </row>
    <row r="193" spans="1:47" s="154" customFormat="1" ht="19.5" customHeight="1">
      <c r="A193" s="84"/>
      <c r="B193" s="83" t="s">
        <v>350</v>
      </c>
      <c r="C193" s="83" t="s">
        <v>346</v>
      </c>
      <c r="D193" s="170">
        <f>380000-150000</f>
        <v>230000</v>
      </c>
      <c r="E193" s="451"/>
      <c r="F193" s="170"/>
      <c r="G193" s="451"/>
      <c r="H193" s="28"/>
      <c r="I193" s="379"/>
      <c r="J193" s="379"/>
      <c r="K193" s="394"/>
      <c r="L193" s="379"/>
      <c r="M193" s="379"/>
      <c r="N193" s="379"/>
      <c r="O193" s="379"/>
      <c r="P193" s="379"/>
      <c r="Q193" s="379"/>
      <c r="R193" s="379"/>
      <c r="S193" s="379"/>
      <c r="T193" s="379"/>
      <c r="U193" s="379"/>
      <c r="V193" s="379"/>
      <c r="W193" s="379"/>
      <c r="X193" s="379"/>
      <c r="Y193" s="379"/>
      <c r="Z193" s="379"/>
      <c r="AA193" s="379"/>
      <c r="AB193" s="379"/>
      <c r="AC193" s="379"/>
      <c r="AD193" s="379"/>
      <c r="AE193" s="379"/>
      <c r="AF193" s="379"/>
      <c r="AG193" s="379"/>
      <c r="AH193" s="379"/>
      <c r="AI193" s="379"/>
      <c r="AJ193" s="379"/>
      <c r="AK193" s="379"/>
      <c r="AL193" s="379"/>
      <c r="AM193" s="379"/>
      <c r="AN193" s="379"/>
      <c r="AO193" s="379"/>
      <c r="AP193" s="379"/>
      <c r="AQ193" s="379"/>
      <c r="AR193" s="379"/>
      <c r="AS193" s="379"/>
      <c r="AT193" s="379"/>
      <c r="AU193" s="379"/>
    </row>
    <row r="194" spans="1:47" s="154" customFormat="1" ht="19.5" customHeight="1">
      <c r="A194" s="84"/>
      <c r="B194" s="83" t="s">
        <v>352</v>
      </c>
      <c r="C194" s="83" t="s">
        <v>346</v>
      </c>
      <c r="D194" s="170">
        <v>200000</v>
      </c>
      <c r="E194" s="451"/>
      <c r="F194" s="170"/>
      <c r="G194" s="451"/>
      <c r="H194" s="28"/>
      <c r="I194" s="379"/>
      <c r="J194" s="379"/>
      <c r="K194" s="394"/>
      <c r="L194" s="379"/>
      <c r="M194" s="379"/>
      <c r="N194" s="379"/>
      <c r="O194" s="379"/>
      <c r="P194" s="379"/>
      <c r="Q194" s="379"/>
      <c r="R194" s="379"/>
      <c r="S194" s="379"/>
      <c r="T194" s="379"/>
      <c r="U194" s="379"/>
      <c r="V194" s="379"/>
      <c r="W194" s="379"/>
      <c r="X194" s="379"/>
      <c r="Y194" s="379"/>
      <c r="Z194" s="379"/>
      <c r="AA194" s="379"/>
      <c r="AB194" s="379"/>
      <c r="AC194" s="379"/>
      <c r="AD194" s="379"/>
      <c r="AE194" s="379"/>
      <c r="AF194" s="379"/>
      <c r="AG194" s="379"/>
      <c r="AH194" s="379"/>
      <c r="AI194" s="379"/>
      <c r="AJ194" s="379"/>
      <c r="AK194" s="379"/>
      <c r="AL194" s="379"/>
      <c r="AM194" s="379"/>
      <c r="AN194" s="379"/>
      <c r="AO194" s="379"/>
      <c r="AP194" s="379"/>
      <c r="AQ194" s="379"/>
      <c r="AR194" s="379"/>
      <c r="AS194" s="379"/>
      <c r="AT194" s="379"/>
      <c r="AU194" s="379"/>
    </row>
    <row r="195" spans="1:47" s="154" customFormat="1" ht="19.5" customHeight="1">
      <c r="A195" s="84"/>
      <c r="B195" s="82" t="s">
        <v>335</v>
      </c>
      <c r="C195" s="83"/>
      <c r="D195" s="170">
        <f>SUM(D196:D199)</f>
        <v>23000</v>
      </c>
      <c r="E195" s="451"/>
      <c r="F195" s="170">
        <f>SUM(F196:F199)</f>
        <v>10400</v>
      </c>
      <c r="G195" s="451"/>
      <c r="H195" s="28"/>
      <c r="I195" s="379"/>
      <c r="J195" s="379"/>
      <c r="K195" s="394"/>
      <c r="L195" s="379"/>
      <c r="M195" s="379"/>
      <c r="N195" s="379"/>
      <c r="O195" s="379"/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79"/>
      <c r="AA195" s="379"/>
      <c r="AB195" s="379"/>
      <c r="AC195" s="379"/>
      <c r="AD195" s="379"/>
      <c r="AE195" s="379"/>
      <c r="AF195" s="379"/>
      <c r="AG195" s="379"/>
      <c r="AH195" s="379"/>
      <c r="AI195" s="379"/>
      <c r="AJ195" s="379"/>
      <c r="AK195" s="379"/>
      <c r="AL195" s="379"/>
      <c r="AM195" s="379"/>
      <c r="AN195" s="379"/>
      <c r="AO195" s="379"/>
      <c r="AP195" s="379"/>
      <c r="AQ195" s="379"/>
      <c r="AR195" s="379"/>
      <c r="AS195" s="379"/>
      <c r="AT195" s="379"/>
      <c r="AU195" s="379"/>
    </row>
    <row r="196" spans="1:47" s="154" customFormat="1" ht="19.5" customHeight="1">
      <c r="A196" s="169"/>
      <c r="B196" s="81"/>
      <c r="C196" s="83" t="s">
        <v>336</v>
      </c>
      <c r="D196" s="170">
        <v>20000</v>
      </c>
      <c r="E196" s="451"/>
      <c r="F196" s="170"/>
      <c r="G196" s="451"/>
      <c r="H196" s="28"/>
      <c r="I196" s="379"/>
      <c r="J196" s="379"/>
      <c r="K196" s="394"/>
      <c r="L196" s="379"/>
      <c r="M196" s="379"/>
      <c r="N196" s="379"/>
      <c r="O196" s="379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  <c r="AA196" s="379"/>
      <c r="AB196" s="379"/>
      <c r="AC196" s="379"/>
      <c r="AD196" s="379"/>
      <c r="AE196" s="379"/>
      <c r="AF196" s="379"/>
      <c r="AG196" s="379"/>
      <c r="AH196" s="379"/>
      <c r="AI196" s="379"/>
      <c r="AJ196" s="379"/>
      <c r="AK196" s="379"/>
      <c r="AL196" s="379"/>
      <c r="AM196" s="379"/>
      <c r="AN196" s="379"/>
      <c r="AO196" s="379"/>
      <c r="AP196" s="379"/>
      <c r="AQ196" s="379"/>
      <c r="AR196" s="379"/>
      <c r="AS196" s="379"/>
      <c r="AT196" s="379"/>
      <c r="AU196" s="379"/>
    </row>
    <row r="197" spans="1:47" s="154" customFormat="1" ht="19.5" customHeight="1">
      <c r="A197" s="169"/>
      <c r="B197" s="84"/>
      <c r="C197" s="83" t="s">
        <v>73</v>
      </c>
      <c r="D197" s="170">
        <v>1000</v>
      </c>
      <c r="E197" s="451"/>
      <c r="F197" s="170"/>
      <c r="G197" s="451"/>
      <c r="H197" s="28"/>
      <c r="I197" s="379"/>
      <c r="J197" s="379"/>
      <c r="K197" s="394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79"/>
      <c r="AB197" s="379"/>
      <c r="AC197" s="379"/>
      <c r="AD197" s="379"/>
      <c r="AE197" s="379"/>
      <c r="AF197" s="379"/>
      <c r="AG197" s="379"/>
      <c r="AH197" s="379"/>
      <c r="AI197" s="379"/>
      <c r="AJ197" s="379"/>
      <c r="AK197" s="379"/>
      <c r="AL197" s="379"/>
      <c r="AM197" s="379"/>
      <c r="AN197" s="379"/>
      <c r="AO197" s="379"/>
      <c r="AP197" s="379"/>
      <c r="AQ197" s="379"/>
      <c r="AR197" s="379"/>
      <c r="AS197" s="379"/>
      <c r="AT197" s="379"/>
      <c r="AU197" s="379"/>
    </row>
    <row r="198" spans="1:47" s="154" customFormat="1" ht="19.5" customHeight="1">
      <c r="A198" s="169"/>
      <c r="B198" s="84"/>
      <c r="C198" s="83" t="s">
        <v>334</v>
      </c>
      <c r="D198" s="170">
        <v>2000</v>
      </c>
      <c r="E198" s="451"/>
      <c r="F198" s="170"/>
      <c r="G198" s="451"/>
      <c r="H198" s="28"/>
      <c r="I198" s="379"/>
      <c r="J198" s="379"/>
      <c r="K198" s="394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  <c r="AA198" s="379"/>
      <c r="AB198" s="379"/>
      <c r="AC198" s="379"/>
      <c r="AD198" s="379"/>
      <c r="AE198" s="379"/>
      <c r="AF198" s="379"/>
      <c r="AG198" s="379"/>
      <c r="AH198" s="379"/>
      <c r="AI198" s="379"/>
      <c r="AJ198" s="379"/>
      <c r="AK198" s="379"/>
      <c r="AL198" s="379"/>
      <c r="AM198" s="379"/>
      <c r="AN198" s="379"/>
      <c r="AO198" s="379"/>
      <c r="AP198" s="379"/>
      <c r="AQ198" s="379"/>
      <c r="AR198" s="379"/>
      <c r="AS198" s="379"/>
      <c r="AT198" s="379"/>
      <c r="AU198" s="379"/>
    </row>
    <row r="199" spans="1:47" s="154" customFormat="1" ht="19.5" customHeight="1">
      <c r="A199" s="457"/>
      <c r="B199" s="93"/>
      <c r="C199" s="83" t="s">
        <v>270</v>
      </c>
      <c r="D199" s="170"/>
      <c r="E199" s="451"/>
      <c r="F199" s="170">
        <v>10400</v>
      </c>
      <c r="G199" s="451"/>
      <c r="H199" s="28"/>
      <c r="I199" s="379"/>
      <c r="J199" s="379"/>
      <c r="K199" s="394"/>
      <c r="L199" s="379"/>
      <c r="M199" s="379"/>
      <c r="N199" s="379"/>
      <c r="O199" s="379"/>
      <c r="P199" s="379"/>
      <c r="Q199" s="379"/>
      <c r="R199" s="379"/>
      <c r="S199" s="379"/>
      <c r="T199" s="379"/>
      <c r="U199" s="379"/>
      <c r="V199" s="379"/>
      <c r="W199" s="379"/>
      <c r="X199" s="379"/>
      <c r="Y199" s="379"/>
      <c r="Z199" s="379"/>
      <c r="AA199" s="379"/>
      <c r="AB199" s="379"/>
      <c r="AC199" s="379"/>
      <c r="AD199" s="379"/>
      <c r="AE199" s="379"/>
      <c r="AF199" s="379"/>
      <c r="AG199" s="379"/>
      <c r="AH199" s="379"/>
      <c r="AI199" s="379"/>
      <c r="AJ199" s="379"/>
      <c r="AK199" s="379"/>
      <c r="AL199" s="379"/>
      <c r="AM199" s="379"/>
      <c r="AN199" s="379"/>
      <c r="AO199" s="379"/>
      <c r="AP199" s="379"/>
      <c r="AQ199" s="379"/>
      <c r="AR199" s="379"/>
      <c r="AS199" s="379"/>
      <c r="AT199" s="379"/>
      <c r="AU199" s="379"/>
    </row>
    <row r="200" spans="1:11" s="379" customFormat="1" ht="19.5" customHeight="1">
      <c r="A200" s="433" t="s">
        <v>250</v>
      </c>
      <c r="B200" s="78" t="s">
        <v>251</v>
      </c>
      <c r="C200" s="80"/>
      <c r="D200" s="91">
        <f>SUM(D201:D202)</f>
        <v>5293</v>
      </c>
      <c r="E200" s="91"/>
      <c r="F200" s="91"/>
      <c r="G200" s="91"/>
      <c r="H200" s="381"/>
      <c r="K200" s="394"/>
    </row>
    <row r="201" spans="1:11" s="379" customFormat="1" ht="19.5" customHeight="1">
      <c r="A201" s="81"/>
      <c r="B201" s="85"/>
      <c r="C201" s="83" t="s">
        <v>66</v>
      </c>
      <c r="D201" s="170">
        <v>1200</v>
      </c>
      <c r="E201" s="170"/>
      <c r="F201" s="170"/>
      <c r="G201" s="170"/>
      <c r="H201" s="381"/>
      <c r="K201" s="394"/>
    </row>
    <row r="202" spans="1:11" s="379" customFormat="1" ht="19.5" customHeight="1">
      <c r="A202" s="93"/>
      <c r="B202" s="85"/>
      <c r="C202" s="83" t="s">
        <v>269</v>
      </c>
      <c r="D202" s="170">
        <v>4093</v>
      </c>
      <c r="E202" s="170"/>
      <c r="F202" s="170"/>
      <c r="G202" s="170"/>
      <c r="H202" s="381"/>
      <c r="K202" s="394"/>
    </row>
    <row r="203" spans="1:11" s="379" customFormat="1" ht="19.5" customHeight="1">
      <c r="A203" s="431" t="s">
        <v>244</v>
      </c>
      <c r="B203" s="79" t="s">
        <v>245</v>
      </c>
      <c r="C203" s="147"/>
      <c r="D203" s="91">
        <f>SUM(D204:D211)</f>
        <v>19196</v>
      </c>
      <c r="E203" s="91"/>
      <c r="F203" s="91">
        <f>SUM(F204:F211)</f>
        <v>0</v>
      </c>
      <c r="G203" s="91"/>
      <c r="H203" s="381"/>
      <c r="K203" s="394"/>
    </row>
    <row r="204" spans="1:11" s="379" customFormat="1" ht="19.5" customHeight="1">
      <c r="A204" s="81"/>
      <c r="B204" s="81"/>
      <c r="C204" s="86" t="s">
        <v>285</v>
      </c>
      <c r="D204" s="170">
        <v>300</v>
      </c>
      <c r="E204" s="170"/>
      <c r="F204" s="170"/>
      <c r="G204" s="170"/>
      <c r="H204" s="381"/>
      <c r="K204" s="394"/>
    </row>
    <row r="205" spans="1:11" s="379" customFormat="1" ht="19.5" customHeight="1">
      <c r="A205" s="444"/>
      <c r="B205" s="444"/>
      <c r="C205" s="86" t="s">
        <v>71</v>
      </c>
      <c r="D205" s="170">
        <f>6500+3800+1600+1200</f>
        <v>13100</v>
      </c>
      <c r="E205" s="170"/>
      <c r="F205" s="170"/>
      <c r="G205" s="170"/>
      <c r="H205" s="381"/>
      <c r="K205" s="394"/>
    </row>
    <row r="206" spans="1:11" s="379" customFormat="1" ht="19.5" customHeight="1">
      <c r="A206" s="444"/>
      <c r="B206" s="444"/>
      <c r="C206" s="86" t="s">
        <v>72</v>
      </c>
      <c r="D206" s="170">
        <f>1924+1300+600-1100</f>
        <v>2724</v>
      </c>
      <c r="E206" s="170"/>
      <c r="F206" s="170"/>
      <c r="G206" s="170"/>
      <c r="H206" s="381"/>
      <c r="K206" s="394"/>
    </row>
    <row r="207" spans="1:11" s="379" customFormat="1" ht="19.5" customHeight="1">
      <c r="A207" s="84"/>
      <c r="B207" s="84"/>
      <c r="C207" s="86" t="s">
        <v>73</v>
      </c>
      <c r="D207" s="170">
        <f>96+380+100+100</f>
        <v>676</v>
      </c>
      <c r="E207" s="170"/>
      <c r="F207" s="170"/>
      <c r="G207" s="170"/>
      <c r="H207" s="381"/>
      <c r="K207" s="394"/>
    </row>
    <row r="208" spans="1:11" s="379" customFormat="1" ht="19.5" customHeight="1">
      <c r="A208" s="84"/>
      <c r="B208" s="84"/>
      <c r="C208" s="86" t="s">
        <v>66</v>
      </c>
      <c r="D208" s="170">
        <v>73</v>
      </c>
      <c r="E208" s="170"/>
      <c r="F208" s="170"/>
      <c r="G208" s="170"/>
      <c r="H208" s="381"/>
      <c r="K208" s="394"/>
    </row>
    <row r="209" spans="1:11" s="379" customFormat="1" ht="19.5" customHeight="1">
      <c r="A209" s="84"/>
      <c r="B209" s="84"/>
      <c r="C209" s="86" t="s">
        <v>278</v>
      </c>
      <c r="D209" s="170">
        <f>1000+260</f>
        <v>1260</v>
      </c>
      <c r="E209" s="170"/>
      <c r="F209" s="170"/>
      <c r="G209" s="170"/>
      <c r="H209" s="381"/>
      <c r="K209" s="394"/>
    </row>
    <row r="210" spans="1:11" s="379" customFormat="1" ht="19.5" customHeight="1">
      <c r="A210" s="84"/>
      <c r="B210" s="84"/>
      <c r="C210" s="86" t="s">
        <v>286</v>
      </c>
      <c r="D210" s="170">
        <v>663</v>
      </c>
      <c r="E210" s="170"/>
      <c r="F210" s="170"/>
      <c r="G210" s="170"/>
      <c r="H210" s="381"/>
      <c r="K210" s="394"/>
    </row>
    <row r="211" spans="1:11" s="379" customFormat="1" ht="19.5" customHeight="1">
      <c r="A211" s="93"/>
      <c r="B211" s="93"/>
      <c r="C211" s="85" t="s">
        <v>258</v>
      </c>
      <c r="D211" s="170">
        <v>400</v>
      </c>
      <c r="E211" s="170"/>
      <c r="F211" s="170"/>
      <c r="G211" s="170"/>
      <c r="H211" s="381"/>
      <c r="K211" s="394"/>
    </row>
    <row r="212" spans="1:11" s="410" customFormat="1" ht="19.5" customHeight="1">
      <c r="A212" s="431" t="s">
        <v>70</v>
      </c>
      <c r="B212" s="444" t="s">
        <v>257</v>
      </c>
      <c r="C212" s="80" t="s">
        <v>281</v>
      </c>
      <c r="D212" s="91">
        <f>190200+200000+409000</f>
        <v>799200</v>
      </c>
      <c r="E212" s="91"/>
      <c r="F212" s="91"/>
      <c r="G212" s="91"/>
      <c r="H212" s="380"/>
      <c r="K212" s="426"/>
    </row>
    <row r="213" spans="1:11" s="410" customFormat="1" ht="19.5" customHeight="1">
      <c r="A213" s="433" t="s">
        <v>309</v>
      </c>
      <c r="B213" s="79" t="s">
        <v>310</v>
      </c>
      <c r="C213" s="453" t="s">
        <v>269</v>
      </c>
      <c r="D213" s="91"/>
      <c r="E213" s="91"/>
      <c r="F213" s="91">
        <v>5000</v>
      </c>
      <c r="G213" s="91"/>
      <c r="H213" s="380"/>
      <c r="K213" s="426"/>
    </row>
    <row r="214" spans="1:11" s="379" customFormat="1" ht="19.5" customHeight="1">
      <c r="A214" s="433" t="s">
        <v>311</v>
      </c>
      <c r="B214" s="79" t="s">
        <v>312</v>
      </c>
      <c r="C214" s="80"/>
      <c r="D214" s="91"/>
      <c r="E214" s="91"/>
      <c r="F214" s="91">
        <f>SUM(F215:F216)</f>
        <v>82500</v>
      </c>
      <c r="G214" s="91"/>
      <c r="H214" s="381"/>
      <c r="K214" s="394"/>
    </row>
    <row r="215" spans="1:11" s="379" customFormat="1" ht="19.5" customHeight="1">
      <c r="A215" s="433"/>
      <c r="B215" s="79"/>
      <c r="C215" s="83" t="s">
        <v>66</v>
      </c>
      <c r="D215" s="170"/>
      <c r="E215" s="170"/>
      <c r="F215" s="170">
        <v>2500</v>
      </c>
      <c r="G215" s="170"/>
      <c r="H215" s="381"/>
      <c r="K215" s="394"/>
    </row>
    <row r="216" spans="1:11" s="379" customFormat="1" ht="19.5" customHeight="1">
      <c r="A216" s="456"/>
      <c r="B216" s="171"/>
      <c r="C216" s="83" t="s">
        <v>278</v>
      </c>
      <c r="D216" s="170"/>
      <c r="E216" s="170"/>
      <c r="F216" s="170">
        <v>80000</v>
      </c>
      <c r="G216" s="170"/>
      <c r="H216" s="381"/>
      <c r="K216" s="394"/>
    </row>
    <row r="217" spans="1:47" s="3" customFormat="1" ht="21.75" customHeight="1">
      <c r="A217" s="595" t="s">
        <v>9</v>
      </c>
      <c r="B217" s="146"/>
      <c r="C217" s="596"/>
      <c r="D217" s="597">
        <f>D148+D153+D156+D187+D200+D203+D212+D213+D214</f>
        <v>1375393</v>
      </c>
      <c r="E217" s="597">
        <f>E148+E153+E156+E187+E200+E203+E212+E213+E214</f>
        <v>0</v>
      </c>
      <c r="F217" s="597">
        <f>F148+F153+F156+F187+F200+F203+F212+F213+F214</f>
        <v>1055244.75</v>
      </c>
      <c r="G217" s="597">
        <f>G148+G153+G156+G187+G200+G203+G212+G213+G214</f>
        <v>0</v>
      </c>
      <c r="H217" s="20"/>
      <c r="I217" s="408"/>
      <c r="J217" s="408"/>
      <c r="K217" s="408"/>
      <c r="L217" s="408"/>
      <c r="M217" s="408"/>
      <c r="N217" s="408"/>
      <c r="O217" s="408"/>
      <c r="P217" s="408"/>
      <c r="Q217" s="408"/>
      <c r="R217" s="408"/>
      <c r="S217" s="408"/>
      <c r="T217" s="408"/>
      <c r="U217" s="408"/>
      <c r="V217" s="408"/>
      <c r="W217" s="408"/>
      <c r="X217" s="408"/>
      <c r="Y217" s="408"/>
      <c r="Z217" s="408"/>
      <c r="AA217" s="408"/>
      <c r="AB217" s="408"/>
      <c r="AC217" s="408"/>
      <c r="AD217" s="408"/>
      <c r="AE217" s="408"/>
      <c r="AF217" s="408"/>
      <c r="AG217" s="408"/>
      <c r="AH217" s="408"/>
      <c r="AI217" s="408"/>
      <c r="AJ217" s="408"/>
      <c r="AK217" s="408"/>
      <c r="AL217" s="408"/>
      <c r="AM217" s="408"/>
      <c r="AN217" s="408"/>
      <c r="AO217" s="408"/>
      <c r="AP217" s="408"/>
      <c r="AQ217" s="408"/>
      <c r="AR217" s="408"/>
      <c r="AS217" s="408"/>
      <c r="AT217" s="408"/>
      <c r="AU217" s="408"/>
    </row>
    <row r="218" spans="1:47" s="3" customFormat="1" ht="18.75" customHeight="1">
      <c r="A218" s="116"/>
      <c r="B218" s="116"/>
      <c r="C218" s="117"/>
      <c r="D218" s="27"/>
      <c r="E218" s="27"/>
      <c r="F218" s="27"/>
      <c r="G218" s="27"/>
      <c r="H218" s="20"/>
      <c r="I218" s="408"/>
      <c r="J218" s="408"/>
      <c r="K218" s="408"/>
      <c r="L218" s="408"/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408"/>
      <c r="AI218" s="408"/>
      <c r="AJ218" s="408"/>
      <c r="AK218" s="408"/>
      <c r="AL218" s="408"/>
      <c r="AM218" s="408"/>
      <c r="AN218" s="408"/>
      <c r="AO218" s="408"/>
      <c r="AP218" s="408"/>
      <c r="AQ218" s="408"/>
      <c r="AR218" s="408"/>
      <c r="AS218" s="408"/>
      <c r="AT218" s="408"/>
      <c r="AU218" s="408"/>
    </row>
    <row r="219" spans="1:8" ht="18.75">
      <c r="A219" s="109" t="s">
        <v>10</v>
      </c>
      <c r="B219" s="96"/>
      <c r="C219" s="113"/>
      <c r="D219" s="19"/>
      <c r="E219" s="19"/>
      <c r="F219" s="19"/>
      <c r="G219" s="19"/>
      <c r="H219" s="17"/>
    </row>
    <row r="220" spans="1:8" ht="18.75">
      <c r="A220" s="109"/>
      <c r="B220" s="96"/>
      <c r="C220" s="113"/>
      <c r="D220" s="19"/>
      <c r="E220" s="19"/>
      <c r="F220" s="19"/>
      <c r="G220" s="19"/>
      <c r="H220" s="17"/>
    </row>
    <row r="221" spans="1:8" ht="18.75">
      <c r="A221" s="112" t="s">
        <v>51</v>
      </c>
      <c r="B221" s="96"/>
      <c r="C221" s="113"/>
      <c r="D221" s="19"/>
      <c r="E221" s="19"/>
      <c r="F221" s="19"/>
      <c r="G221" s="19"/>
      <c r="H221" s="17"/>
    </row>
    <row r="222" spans="1:8" ht="18.75">
      <c r="A222" s="109"/>
      <c r="B222" s="96"/>
      <c r="C222" s="113"/>
      <c r="D222" s="19"/>
      <c r="E222" s="19"/>
      <c r="F222" s="19"/>
      <c r="G222" s="19"/>
      <c r="H222" s="17"/>
    </row>
    <row r="223" spans="1:8" ht="18.75">
      <c r="A223" s="594"/>
      <c r="B223" s="73"/>
      <c r="C223" s="74"/>
      <c r="D223" s="10" t="s">
        <v>0</v>
      </c>
      <c r="E223" s="11"/>
      <c r="F223" s="10" t="s">
        <v>1</v>
      </c>
      <c r="G223" s="11"/>
      <c r="H223" s="17"/>
    </row>
    <row r="224" spans="1:8" ht="13.5" customHeight="1">
      <c r="A224" s="75"/>
      <c r="B224" s="75"/>
      <c r="C224" s="76"/>
      <c r="D224" s="12" t="s">
        <v>3</v>
      </c>
      <c r="E224" s="11" t="s">
        <v>2</v>
      </c>
      <c r="F224" s="12" t="s">
        <v>3</v>
      </c>
      <c r="G224" s="11" t="s">
        <v>2</v>
      </c>
      <c r="H224" s="17"/>
    </row>
    <row r="225" spans="1:8" ht="27.75" customHeight="1">
      <c r="A225" s="77" t="s">
        <v>5</v>
      </c>
      <c r="B225" s="77" t="s">
        <v>11</v>
      </c>
      <c r="C225" s="77" t="s">
        <v>6</v>
      </c>
      <c r="D225" s="13" t="s">
        <v>7</v>
      </c>
      <c r="E225" s="14" t="s">
        <v>8</v>
      </c>
      <c r="F225" s="13" t="s">
        <v>7</v>
      </c>
      <c r="G225" s="14" t="s">
        <v>8</v>
      </c>
      <c r="H225" s="17"/>
    </row>
    <row r="226" spans="1:47" s="161" customFormat="1" ht="21" customHeight="1">
      <c r="A226" s="433" t="s">
        <v>357</v>
      </c>
      <c r="B226" s="79" t="s">
        <v>358</v>
      </c>
      <c r="C226" s="80"/>
      <c r="D226" s="413">
        <f>SUM(D227:D230)</f>
        <v>82864</v>
      </c>
      <c r="E226" s="413"/>
      <c r="F226" s="413"/>
      <c r="G226" s="413"/>
      <c r="H226" s="20"/>
      <c r="I226" s="412"/>
      <c r="J226" s="412"/>
      <c r="K226" s="429"/>
      <c r="L226" s="412"/>
      <c r="M226" s="412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412"/>
      <c r="AE226" s="412"/>
      <c r="AF226" s="412"/>
      <c r="AG226" s="412"/>
      <c r="AH226" s="412"/>
      <c r="AI226" s="412"/>
      <c r="AJ226" s="412"/>
      <c r="AK226" s="412"/>
      <c r="AL226" s="412"/>
      <c r="AM226" s="412"/>
      <c r="AN226" s="412"/>
      <c r="AO226" s="412"/>
      <c r="AP226" s="412"/>
      <c r="AQ226" s="412"/>
      <c r="AR226" s="412"/>
      <c r="AS226" s="412"/>
      <c r="AT226" s="412"/>
      <c r="AU226" s="412"/>
    </row>
    <row r="227" spans="1:47" s="34" customFormat="1" ht="21" customHeight="1">
      <c r="A227" s="433"/>
      <c r="B227" s="79"/>
      <c r="C227" s="83" t="s">
        <v>71</v>
      </c>
      <c r="D227" s="434">
        <v>62000</v>
      </c>
      <c r="E227" s="434"/>
      <c r="F227" s="434"/>
      <c r="G227" s="434"/>
      <c r="H227" s="414"/>
      <c r="I227" s="314"/>
      <c r="J227" s="314"/>
      <c r="K227" s="408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4"/>
      <c r="AC227" s="314"/>
      <c r="AD227" s="314"/>
      <c r="AE227" s="314"/>
      <c r="AF227" s="314"/>
      <c r="AG227" s="314"/>
      <c r="AH227" s="314"/>
      <c r="AI227" s="314"/>
      <c r="AJ227" s="314"/>
      <c r="AK227" s="314"/>
      <c r="AL227" s="314"/>
      <c r="AM227" s="314"/>
      <c r="AN227" s="314"/>
      <c r="AO227" s="314"/>
      <c r="AP227" s="314"/>
      <c r="AQ227" s="314"/>
      <c r="AR227" s="314"/>
      <c r="AS227" s="314"/>
      <c r="AT227" s="314"/>
      <c r="AU227" s="314"/>
    </row>
    <row r="228" spans="1:47" s="34" customFormat="1" ht="21" customHeight="1">
      <c r="A228" s="431"/>
      <c r="B228" s="444"/>
      <c r="C228" s="83" t="s">
        <v>336</v>
      </c>
      <c r="D228" s="434">
        <v>6064</v>
      </c>
      <c r="E228" s="434"/>
      <c r="F228" s="434"/>
      <c r="G228" s="434"/>
      <c r="H228" s="414"/>
      <c r="I228" s="314"/>
      <c r="J228" s="314"/>
      <c r="K228" s="408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4"/>
      <c r="AC228" s="314"/>
      <c r="AD228" s="314"/>
      <c r="AE228" s="314"/>
      <c r="AF228" s="314"/>
      <c r="AG228" s="314"/>
      <c r="AH228" s="314"/>
      <c r="AI228" s="314"/>
      <c r="AJ228" s="314"/>
      <c r="AK228" s="314"/>
      <c r="AL228" s="314"/>
      <c r="AM228" s="314"/>
      <c r="AN228" s="314"/>
      <c r="AO228" s="314"/>
      <c r="AP228" s="314"/>
      <c r="AQ228" s="314"/>
      <c r="AR228" s="314"/>
      <c r="AS228" s="314"/>
      <c r="AT228" s="314"/>
      <c r="AU228" s="314"/>
    </row>
    <row r="229" spans="1:47" s="34" customFormat="1" ht="21" customHeight="1">
      <c r="A229" s="169"/>
      <c r="B229" s="84"/>
      <c r="C229" s="83" t="s">
        <v>72</v>
      </c>
      <c r="D229" s="434">
        <v>12000</v>
      </c>
      <c r="E229" s="434"/>
      <c r="F229" s="434"/>
      <c r="G229" s="434"/>
      <c r="H229" s="414"/>
      <c r="I229" s="314"/>
      <c r="J229" s="314"/>
      <c r="K229" s="408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4"/>
      <c r="W229" s="314"/>
      <c r="X229" s="314"/>
      <c r="Y229" s="314"/>
      <c r="Z229" s="314"/>
      <c r="AA229" s="314"/>
      <c r="AB229" s="314"/>
      <c r="AC229" s="314"/>
      <c r="AD229" s="314"/>
      <c r="AE229" s="314"/>
      <c r="AF229" s="314"/>
      <c r="AG229" s="314"/>
      <c r="AH229" s="314"/>
      <c r="AI229" s="314"/>
      <c r="AJ229" s="314"/>
      <c r="AK229" s="314"/>
      <c r="AL229" s="314"/>
      <c r="AM229" s="314"/>
      <c r="AN229" s="314"/>
      <c r="AO229" s="314"/>
      <c r="AP229" s="314"/>
      <c r="AQ229" s="314"/>
      <c r="AR229" s="314"/>
      <c r="AS229" s="314"/>
      <c r="AT229" s="314"/>
      <c r="AU229" s="314"/>
    </row>
    <row r="230" spans="1:47" s="34" customFormat="1" ht="21" customHeight="1">
      <c r="A230" s="457"/>
      <c r="B230" s="93"/>
      <c r="C230" s="83" t="s">
        <v>73</v>
      </c>
      <c r="D230" s="434">
        <v>2800</v>
      </c>
      <c r="E230" s="434"/>
      <c r="F230" s="434"/>
      <c r="G230" s="434"/>
      <c r="H230" s="414"/>
      <c r="I230" s="314"/>
      <c r="J230" s="314"/>
      <c r="K230" s="408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4"/>
      <c r="W230" s="314"/>
      <c r="X230" s="314"/>
      <c r="Y230" s="314"/>
      <c r="Z230" s="314"/>
      <c r="AA230" s="314"/>
      <c r="AB230" s="314"/>
      <c r="AC230" s="314"/>
      <c r="AD230" s="314"/>
      <c r="AE230" s="314"/>
      <c r="AF230" s="314"/>
      <c r="AG230" s="314"/>
      <c r="AH230" s="314"/>
      <c r="AI230" s="314"/>
      <c r="AJ230" s="314"/>
      <c r="AK230" s="314"/>
      <c r="AL230" s="314"/>
      <c r="AM230" s="314"/>
      <c r="AN230" s="314"/>
      <c r="AO230" s="314"/>
      <c r="AP230" s="314"/>
      <c r="AQ230" s="314"/>
      <c r="AR230" s="314"/>
      <c r="AS230" s="314"/>
      <c r="AT230" s="314"/>
      <c r="AU230" s="314"/>
    </row>
    <row r="231" spans="1:47" s="161" customFormat="1" ht="21" customHeight="1">
      <c r="A231" s="171" t="s">
        <v>272</v>
      </c>
      <c r="B231" s="171" t="s">
        <v>305</v>
      </c>
      <c r="C231" s="80" t="s">
        <v>71</v>
      </c>
      <c r="D231" s="413"/>
      <c r="E231" s="413"/>
      <c r="F231" s="413">
        <v>82864</v>
      </c>
      <c r="G231" s="413"/>
      <c r="H231" s="20"/>
      <c r="I231" s="412"/>
      <c r="J231" s="412"/>
      <c r="K231" s="429"/>
      <c r="L231" s="412"/>
      <c r="M231" s="412"/>
      <c r="N231" s="412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  <c r="AD231" s="412"/>
      <c r="AE231" s="412"/>
      <c r="AF231" s="412"/>
      <c r="AG231" s="412"/>
      <c r="AH231" s="412"/>
      <c r="AI231" s="412"/>
      <c r="AJ231" s="412"/>
      <c r="AK231" s="412"/>
      <c r="AL231" s="412"/>
      <c r="AM231" s="412"/>
      <c r="AN231" s="412"/>
      <c r="AO231" s="412"/>
      <c r="AP231" s="412"/>
      <c r="AQ231" s="412"/>
      <c r="AR231" s="412"/>
      <c r="AS231" s="412"/>
      <c r="AT231" s="412"/>
      <c r="AU231" s="412"/>
    </row>
    <row r="232" spans="1:47" s="161" customFormat="1" ht="21" customHeight="1">
      <c r="A232" s="456" t="s">
        <v>67</v>
      </c>
      <c r="B232" s="171" t="s">
        <v>220</v>
      </c>
      <c r="C232" s="80" t="s">
        <v>221</v>
      </c>
      <c r="D232" s="413">
        <v>20000</v>
      </c>
      <c r="E232" s="413"/>
      <c r="F232" s="413"/>
      <c r="G232" s="413"/>
      <c r="H232" s="20"/>
      <c r="I232" s="412"/>
      <c r="J232" s="412"/>
      <c r="K232" s="429"/>
      <c r="L232" s="412"/>
      <c r="M232" s="412"/>
      <c r="N232" s="412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2"/>
      <c r="AC232" s="412"/>
      <c r="AD232" s="412"/>
      <c r="AE232" s="412"/>
      <c r="AF232" s="412"/>
      <c r="AG232" s="412"/>
      <c r="AH232" s="412"/>
      <c r="AI232" s="412"/>
      <c r="AJ232" s="412"/>
      <c r="AK232" s="412"/>
      <c r="AL232" s="412"/>
      <c r="AM232" s="412"/>
      <c r="AN232" s="412"/>
      <c r="AO232" s="412"/>
      <c r="AP232" s="412"/>
      <c r="AQ232" s="412"/>
      <c r="AR232" s="412"/>
      <c r="AS232" s="412"/>
      <c r="AT232" s="412"/>
      <c r="AU232" s="412"/>
    </row>
    <row r="233" spans="1:47" s="161" customFormat="1" ht="21" customHeight="1">
      <c r="A233" s="433" t="s">
        <v>68</v>
      </c>
      <c r="B233" s="78"/>
      <c r="C233" s="80"/>
      <c r="D233" s="413">
        <f>D234+D240+D245+D263+D279+D283+D296+D302</f>
        <v>216717</v>
      </c>
      <c r="E233" s="413"/>
      <c r="F233" s="413">
        <f>F234+F240+F245+F263+F279+F283+F296+F302</f>
        <v>313280</v>
      </c>
      <c r="G233" s="413"/>
      <c r="H233" s="20"/>
      <c r="I233" s="429"/>
      <c r="J233" s="412"/>
      <c r="K233" s="429"/>
      <c r="L233" s="412"/>
      <c r="M233" s="412"/>
      <c r="N233" s="412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412"/>
      <c r="AE233" s="412"/>
      <c r="AF233" s="412"/>
      <c r="AG233" s="412"/>
      <c r="AH233" s="412"/>
      <c r="AI233" s="412"/>
      <c r="AJ233" s="412"/>
      <c r="AK233" s="412"/>
      <c r="AL233" s="412"/>
      <c r="AM233" s="412"/>
      <c r="AN233" s="412"/>
      <c r="AO233" s="412"/>
      <c r="AP233" s="412"/>
      <c r="AQ233" s="412"/>
      <c r="AR233" s="412"/>
      <c r="AS233" s="412"/>
      <c r="AT233" s="412"/>
      <c r="AU233" s="412"/>
    </row>
    <row r="234" spans="1:47" s="34" customFormat="1" ht="21" customHeight="1">
      <c r="A234" s="81"/>
      <c r="B234" s="82" t="s">
        <v>342</v>
      </c>
      <c r="C234" s="83"/>
      <c r="D234" s="434">
        <f>SUM(D235:D239)</f>
        <v>22351</v>
      </c>
      <c r="E234" s="434"/>
      <c r="F234" s="434"/>
      <c r="G234" s="434"/>
      <c r="H234" s="414"/>
      <c r="I234" s="408"/>
      <c r="J234" s="314"/>
      <c r="K234" s="408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/>
      <c r="AG234" s="314"/>
      <c r="AH234" s="314"/>
      <c r="AI234" s="314"/>
      <c r="AJ234" s="314"/>
      <c r="AK234" s="314"/>
      <c r="AL234" s="314"/>
      <c r="AM234" s="314"/>
      <c r="AN234" s="314"/>
      <c r="AO234" s="314"/>
      <c r="AP234" s="314"/>
      <c r="AQ234" s="314"/>
      <c r="AR234" s="314"/>
      <c r="AS234" s="314"/>
      <c r="AT234" s="314"/>
      <c r="AU234" s="314"/>
    </row>
    <row r="235" spans="1:47" s="34" customFormat="1" ht="21" customHeight="1">
      <c r="A235" s="444"/>
      <c r="B235" s="114"/>
      <c r="C235" s="83" t="s">
        <v>71</v>
      </c>
      <c r="D235" s="434">
        <v>16000</v>
      </c>
      <c r="E235" s="434"/>
      <c r="F235" s="434"/>
      <c r="G235" s="434"/>
      <c r="H235" s="414"/>
      <c r="I235" s="408"/>
      <c r="J235" s="314"/>
      <c r="K235" s="408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  <c r="AR235" s="314"/>
      <c r="AS235" s="314"/>
      <c r="AT235" s="314"/>
      <c r="AU235" s="314"/>
    </row>
    <row r="236" spans="1:47" s="34" customFormat="1" ht="21" customHeight="1">
      <c r="A236" s="84"/>
      <c r="B236" s="85"/>
      <c r="C236" s="83" t="s">
        <v>72</v>
      </c>
      <c r="D236" s="434">
        <v>4000</v>
      </c>
      <c r="E236" s="434"/>
      <c r="F236" s="434"/>
      <c r="G236" s="434"/>
      <c r="H236" s="414"/>
      <c r="I236" s="408"/>
      <c r="J236" s="314"/>
      <c r="K236" s="408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14"/>
      <c r="AG236" s="314"/>
      <c r="AH236" s="314"/>
      <c r="AI236" s="314"/>
      <c r="AJ236" s="314"/>
      <c r="AK236" s="314"/>
      <c r="AL236" s="314"/>
      <c r="AM236" s="314"/>
      <c r="AN236" s="314"/>
      <c r="AO236" s="314"/>
      <c r="AP236" s="314"/>
      <c r="AQ236" s="314"/>
      <c r="AR236" s="314"/>
      <c r="AS236" s="314"/>
      <c r="AT236" s="314"/>
      <c r="AU236" s="314"/>
    </row>
    <row r="237" spans="1:47" s="34" customFormat="1" ht="21" customHeight="1">
      <c r="A237" s="84"/>
      <c r="B237" s="85"/>
      <c r="C237" s="83" t="s">
        <v>73</v>
      </c>
      <c r="D237" s="434">
        <v>2000</v>
      </c>
      <c r="E237" s="434"/>
      <c r="F237" s="434"/>
      <c r="G237" s="434"/>
      <c r="H237" s="414"/>
      <c r="I237" s="408"/>
      <c r="J237" s="314"/>
      <c r="K237" s="408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4"/>
      <c r="AK237" s="314"/>
      <c r="AL237" s="314"/>
      <c r="AM237" s="314"/>
      <c r="AN237" s="314"/>
      <c r="AO237" s="314"/>
      <c r="AP237" s="314"/>
      <c r="AQ237" s="314"/>
      <c r="AR237" s="314"/>
      <c r="AS237" s="314"/>
      <c r="AT237" s="314"/>
      <c r="AU237" s="314"/>
    </row>
    <row r="238" spans="1:47" s="34" customFormat="1" ht="21" customHeight="1">
      <c r="A238" s="84"/>
      <c r="B238" s="85"/>
      <c r="C238" s="83" t="s">
        <v>313</v>
      </c>
      <c r="D238" s="434">
        <v>250</v>
      </c>
      <c r="E238" s="434"/>
      <c r="F238" s="434"/>
      <c r="G238" s="434"/>
      <c r="H238" s="414"/>
      <c r="I238" s="408"/>
      <c r="J238" s="314"/>
      <c r="K238" s="408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4"/>
      <c r="AD238" s="314"/>
      <c r="AE238" s="314"/>
      <c r="AF238" s="314"/>
      <c r="AG238" s="314"/>
      <c r="AH238" s="314"/>
      <c r="AI238" s="314"/>
      <c r="AJ238" s="314"/>
      <c r="AK238" s="314"/>
      <c r="AL238" s="314"/>
      <c r="AM238" s="314"/>
      <c r="AN238" s="314"/>
      <c r="AO238" s="314"/>
      <c r="AP238" s="314"/>
      <c r="AQ238" s="314"/>
      <c r="AR238" s="314"/>
      <c r="AS238" s="314"/>
      <c r="AT238" s="314"/>
      <c r="AU238" s="314"/>
    </row>
    <row r="239" spans="1:47" s="34" customFormat="1" ht="21" customHeight="1">
      <c r="A239" s="84"/>
      <c r="B239" s="86"/>
      <c r="C239" s="83" t="s">
        <v>252</v>
      </c>
      <c r="D239" s="434">
        <v>101</v>
      </c>
      <c r="E239" s="434"/>
      <c r="F239" s="434"/>
      <c r="G239" s="434"/>
      <c r="H239" s="414"/>
      <c r="I239" s="408"/>
      <c r="J239" s="314"/>
      <c r="K239" s="408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4"/>
      <c r="AK239" s="314"/>
      <c r="AL239" s="314"/>
      <c r="AM239" s="314"/>
      <c r="AN239" s="314"/>
      <c r="AO239" s="314"/>
      <c r="AP239" s="314"/>
      <c r="AQ239" s="314"/>
      <c r="AR239" s="314"/>
      <c r="AS239" s="314"/>
      <c r="AT239" s="314"/>
      <c r="AU239" s="314"/>
    </row>
    <row r="240" spans="1:47" s="34" customFormat="1" ht="21" customHeight="1">
      <c r="A240" s="84"/>
      <c r="B240" s="85" t="s">
        <v>343</v>
      </c>
      <c r="C240" s="83"/>
      <c r="D240" s="434">
        <f>SUM(D241:D244)</f>
        <v>7000</v>
      </c>
      <c r="E240" s="434"/>
      <c r="F240" s="434"/>
      <c r="G240" s="434"/>
      <c r="H240" s="414"/>
      <c r="I240" s="408"/>
      <c r="J240" s="314"/>
      <c r="K240" s="408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4"/>
      <c r="W240" s="314"/>
      <c r="X240" s="314"/>
      <c r="Y240" s="314"/>
      <c r="Z240" s="314"/>
      <c r="AA240" s="314"/>
      <c r="AB240" s="314"/>
      <c r="AC240" s="314"/>
      <c r="AD240" s="314"/>
      <c r="AE240" s="314"/>
      <c r="AF240" s="314"/>
      <c r="AG240" s="314"/>
      <c r="AH240" s="314"/>
      <c r="AI240" s="314"/>
      <c r="AJ240" s="314"/>
      <c r="AK240" s="314"/>
      <c r="AL240" s="314"/>
      <c r="AM240" s="314"/>
      <c r="AN240" s="314"/>
      <c r="AO240" s="314"/>
      <c r="AP240" s="314"/>
      <c r="AQ240" s="314"/>
      <c r="AR240" s="314"/>
      <c r="AS240" s="314"/>
      <c r="AT240" s="314"/>
      <c r="AU240" s="314"/>
    </row>
    <row r="241" spans="1:47" s="34" customFormat="1" ht="21" customHeight="1">
      <c r="A241" s="84"/>
      <c r="B241" s="82"/>
      <c r="C241" s="83" t="s">
        <v>71</v>
      </c>
      <c r="D241" s="434">
        <v>3000</v>
      </c>
      <c r="E241" s="434"/>
      <c r="F241" s="434"/>
      <c r="G241" s="434"/>
      <c r="H241" s="414"/>
      <c r="I241" s="408"/>
      <c r="J241" s="314"/>
      <c r="K241" s="408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4"/>
      <c r="W241" s="314"/>
      <c r="X241" s="314"/>
      <c r="Y241" s="314"/>
      <c r="Z241" s="314"/>
      <c r="AA241" s="314"/>
      <c r="AB241" s="314"/>
      <c r="AC241" s="314"/>
      <c r="AD241" s="314"/>
      <c r="AE241" s="314"/>
      <c r="AF241" s="314"/>
      <c r="AG241" s="314"/>
      <c r="AH241" s="314"/>
      <c r="AI241" s="314"/>
      <c r="AJ241" s="314"/>
      <c r="AK241" s="314"/>
      <c r="AL241" s="314"/>
      <c r="AM241" s="314"/>
      <c r="AN241" s="314"/>
      <c r="AO241" s="314"/>
      <c r="AP241" s="314"/>
      <c r="AQ241" s="314"/>
      <c r="AR241" s="314"/>
      <c r="AS241" s="314"/>
      <c r="AT241" s="314"/>
      <c r="AU241" s="314"/>
    </row>
    <row r="242" spans="1:47" s="34" customFormat="1" ht="21" customHeight="1">
      <c r="A242" s="84"/>
      <c r="B242" s="85"/>
      <c r="C242" s="83" t="s">
        <v>72</v>
      </c>
      <c r="D242" s="434">
        <v>1000</v>
      </c>
      <c r="E242" s="434"/>
      <c r="F242" s="434"/>
      <c r="G242" s="434"/>
      <c r="H242" s="414"/>
      <c r="I242" s="408"/>
      <c r="J242" s="314"/>
      <c r="K242" s="408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4"/>
      <c r="W242" s="314"/>
      <c r="X242" s="314"/>
      <c r="Y242" s="314"/>
      <c r="Z242" s="314"/>
      <c r="AA242" s="314"/>
      <c r="AB242" s="314"/>
      <c r="AC242" s="314"/>
      <c r="AD242" s="314"/>
      <c r="AE242" s="314"/>
      <c r="AF242" s="314"/>
      <c r="AG242" s="314"/>
      <c r="AH242" s="314"/>
      <c r="AI242" s="314"/>
      <c r="AJ242" s="314"/>
      <c r="AK242" s="314"/>
      <c r="AL242" s="314"/>
      <c r="AM242" s="314"/>
      <c r="AN242" s="314"/>
      <c r="AO242" s="314"/>
      <c r="AP242" s="314"/>
      <c r="AQ242" s="314"/>
      <c r="AR242" s="314"/>
      <c r="AS242" s="314"/>
      <c r="AT242" s="314"/>
      <c r="AU242" s="314"/>
    </row>
    <row r="243" spans="1:47" s="34" customFormat="1" ht="21" customHeight="1">
      <c r="A243" s="84"/>
      <c r="B243" s="85"/>
      <c r="C243" s="83" t="s">
        <v>73</v>
      </c>
      <c r="D243" s="434">
        <v>1000</v>
      </c>
      <c r="E243" s="434"/>
      <c r="F243" s="434"/>
      <c r="G243" s="434"/>
      <c r="H243" s="414"/>
      <c r="I243" s="408"/>
      <c r="J243" s="314"/>
      <c r="K243" s="408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/>
      <c r="AJ243" s="314"/>
      <c r="AK243" s="314"/>
      <c r="AL243" s="314"/>
      <c r="AM243" s="314"/>
      <c r="AN243" s="314"/>
      <c r="AO243" s="314"/>
      <c r="AP243" s="314"/>
      <c r="AQ243" s="314"/>
      <c r="AR243" s="314"/>
      <c r="AS243" s="314"/>
      <c r="AT243" s="314"/>
      <c r="AU243" s="314"/>
    </row>
    <row r="244" spans="1:47" s="34" customFormat="1" ht="21" customHeight="1">
      <c r="A244" s="84"/>
      <c r="B244" s="86"/>
      <c r="C244" s="83" t="s">
        <v>269</v>
      </c>
      <c r="D244" s="434">
        <v>2000</v>
      </c>
      <c r="E244" s="434"/>
      <c r="F244" s="434"/>
      <c r="G244" s="434"/>
      <c r="H244" s="414"/>
      <c r="I244" s="408"/>
      <c r="J244" s="314"/>
      <c r="K244" s="408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4"/>
      <c r="W244" s="314"/>
      <c r="X244" s="314"/>
      <c r="Y244" s="314"/>
      <c r="Z244" s="314"/>
      <c r="AA244" s="314"/>
      <c r="AB244" s="314"/>
      <c r="AC244" s="314"/>
      <c r="AD244" s="314"/>
      <c r="AE244" s="314"/>
      <c r="AF244" s="314"/>
      <c r="AG244" s="314"/>
      <c r="AH244" s="314"/>
      <c r="AI244" s="314"/>
      <c r="AJ244" s="314"/>
      <c r="AK244" s="314"/>
      <c r="AL244" s="314"/>
      <c r="AM244" s="314"/>
      <c r="AN244" s="314"/>
      <c r="AO244" s="314"/>
      <c r="AP244" s="314"/>
      <c r="AQ244" s="314"/>
      <c r="AR244" s="314"/>
      <c r="AS244" s="314"/>
      <c r="AT244" s="314"/>
      <c r="AU244" s="314"/>
    </row>
    <row r="245" spans="1:47" s="34" customFormat="1" ht="21" customHeight="1">
      <c r="A245" s="84"/>
      <c r="B245" s="85" t="s">
        <v>275</v>
      </c>
      <c r="C245" s="83"/>
      <c r="D245" s="434">
        <f>SUM(D246:D262)</f>
        <v>67191</v>
      </c>
      <c r="E245" s="434"/>
      <c r="F245" s="434">
        <f>SUM(F246:F262)</f>
        <v>137119</v>
      </c>
      <c r="G245" s="434"/>
      <c r="H245" s="414"/>
      <c r="I245" s="314"/>
      <c r="J245" s="314"/>
      <c r="K245" s="408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4"/>
      <c r="AC245" s="314"/>
      <c r="AD245" s="314"/>
      <c r="AE245" s="314"/>
      <c r="AF245" s="314"/>
      <c r="AG245" s="314"/>
      <c r="AH245" s="314"/>
      <c r="AI245" s="314"/>
      <c r="AJ245" s="314"/>
      <c r="AK245" s="314"/>
      <c r="AL245" s="314"/>
      <c r="AM245" s="314"/>
      <c r="AN245" s="314"/>
      <c r="AO245" s="314"/>
      <c r="AP245" s="314"/>
      <c r="AQ245" s="314"/>
      <c r="AR245" s="314"/>
      <c r="AS245" s="314"/>
      <c r="AT245" s="314"/>
      <c r="AU245" s="314"/>
    </row>
    <row r="246" spans="1:47" s="34" customFormat="1" ht="21" customHeight="1">
      <c r="A246" s="84"/>
      <c r="B246" s="82"/>
      <c r="C246" s="83" t="s">
        <v>349</v>
      </c>
      <c r="D246" s="434">
        <f>29150-2000</f>
        <v>27150</v>
      </c>
      <c r="E246" s="434"/>
      <c r="F246" s="434"/>
      <c r="G246" s="434"/>
      <c r="H246" s="414"/>
      <c r="I246" s="314"/>
      <c r="J246" s="314"/>
      <c r="K246" s="408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4"/>
      <c r="W246" s="314"/>
      <c r="X246" s="314"/>
      <c r="Y246" s="314"/>
      <c r="Z246" s="314"/>
      <c r="AA246" s="314"/>
      <c r="AB246" s="314"/>
      <c r="AC246" s="314"/>
      <c r="AD246" s="314"/>
      <c r="AE246" s="314"/>
      <c r="AF246" s="314"/>
      <c r="AG246" s="314"/>
      <c r="AH246" s="314"/>
      <c r="AI246" s="314"/>
      <c r="AJ246" s="314"/>
      <c r="AK246" s="314"/>
      <c r="AL246" s="314"/>
      <c r="AM246" s="314"/>
      <c r="AN246" s="314"/>
      <c r="AO246" s="314"/>
      <c r="AP246" s="314"/>
      <c r="AQ246" s="314"/>
      <c r="AR246" s="314"/>
      <c r="AS246" s="314"/>
      <c r="AT246" s="314"/>
      <c r="AU246" s="314"/>
    </row>
    <row r="247" spans="1:47" s="34" customFormat="1" ht="21" customHeight="1">
      <c r="A247" s="84"/>
      <c r="B247" s="85"/>
      <c r="C247" s="83" t="s">
        <v>285</v>
      </c>
      <c r="D247" s="434"/>
      <c r="E247" s="434"/>
      <c r="F247" s="434">
        <v>774</v>
      </c>
      <c r="G247" s="434"/>
      <c r="H247" s="414"/>
      <c r="I247" s="314"/>
      <c r="J247" s="314"/>
      <c r="K247" s="408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14"/>
      <c r="AG247" s="314"/>
      <c r="AH247" s="314"/>
      <c r="AI247" s="314"/>
      <c r="AJ247" s="314"/>
      <c r="AK247" s="314"/>
      <c r="AL247" s="314"/>
      <c r="AM247" s="314"/>
      <c r="AN247" s="314"/>
      <c r="AO247" s="314"/>
      <c r="AP247" s="314"/>
      <c r="AQ247" s="314"/>
      <c r="AR247" s="314"/>
      <c r="AS247" s="314"/>
      <c r="AT247" s="314"/>
      <c r="AU247" s="314"/>
    </row>
    <row r="248" spans="1:47" s="34" customFormat="1" ht="21" customHeight="1">
      <c r="A248" s="84"/>
      <c r="B248" s="85"/>
      <c r="C248" s="83" t="s">
        <v>71</v>
      </c>
      <c r="D248" s="434"/>
      <c r="E248" s="434"/>
      <c r="F248" s="434">
        <f>12000+20760+10000+68000+8000+15000-23800</f>
        <v>109960</v>
      </c>
      <c r="G248" s="434"/>
      <c r="H248" s="414"/>
      <c r="I248" s="314"/>
      <c r="J248" s="314"/>
      <c r="K248" s="408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4"/>
      <c r="AK248" s="314"/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</row>
    <row r="249" spans="1:47" s="34" customFormat="1" ht="21" customHeight="1">
      <c r="A249" s="84"/>
      <c r="B249" s="85"/>
      <c r="C249" s="83" t="s">
        <v>72</v>
      </c>
      <c r="D249" s="434">
        <f>8000+15000-6700</f>
        <v>16300</v>
      </c>
      <c r="E249" s="434"/>
      <c r="F249" s="434"/>
      <c r="G249" s="434"/>
      <c r="H249" s="414"/>
      <c r="I249" s="314"/>
      <c r="J249" s="314"/>
      <c r="K249" s="408"/>
      <c r="L249" s="314"/>
      <c r="M249" s="314"/>
      <c r="N249" s="314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4"/>
      <c r="AK249" s="314"/>
      <c r="AL249" s="314"/>
      <c r="AM249" s="314"/>
      <c r="AN249" s="314"/>
      <c r="AO249" s="314"/>
      <c r="AP249" s="314"/>
      <c r="AQ249" s="314"/>
      <c r="AR249" s="314"/>
      <c r="AS249" s="314"/>
      <c r="AT249" s="314"/>
      <c r="AU249" s="314"/>
    </row>
    <row r="250" spans="1:47" s="34" customFormat="1" ht="21" customHeight="1">
      <c r="A250" s="84"/>
      <c r="B250" s="85"/>
      <c r="C250" s="83" t="s">
        <v>73</v>
      </c>
      <c r="D250" s="434">
        <f>100+4000</f>
        <v>4100</v>
      </c>
      <c r="E250" s="434"/>
      <c r="F250" s="434"/>
      <c r="G250" s="434"/>
      <c r="H250" s="414"/>
      <c r="I250" s="314"/>
      <c r="J250" s="314"/>
      <c r="K250" s="408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14"/>
      <c r="AG250" s="314"/>
      <c r="AH250" s="314"/>
      <c r="AI250" s="314"/>
      <c r="AJ250" s="314"/>
      <c r="AK250" s="314"/>
      <c r="AL250" s="314"/>
      <c r="AM250" s="314"/>
      <c r="AN250" s="314"/>
      <c r="AO250" s="314"/>
      <c r="AP250" s="314"/>
      <c r="AQ250" s="314"/>
      <c r="AR250" s="314"/>
      <c r="AS250" s="314"/>
      <c r="AT250" s="314"/>
      <c r="AU250" s="314"/>
    </row>
    <row r="251" spans="1:47" s="34" customFormat="1" ht="21" customHeight="1">
      <c r="A251" s="84"/>
      <c r="B251" s="85"/>
      <c r="C251" s="83" t="s">
        <v>340</v>
      </c>
      <c r="D251" s="434">
        <v>5000</v>
      </c>
      <c r="E251" s="434"/>
      <c r="F251" s="434"/>
      <c r="G251" s="434"/>
      <c r="H251" s="414"/>
      <c r="I251" s="314"/>
      <c r="J251" s="314"/>
      <c r="K251" s="408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/>
      <c r="AO251" s="314"/>
      <c r="AP251" s="314"/>
      <c r="AQ251" s="314"/>
      <c r="AR251" s="314"/>
      <c r="AS251" s="314"/>
      <c r="AT251" s="314"/>
      <c r="AU251" s="314"/>
    </row>
    <row r="252" spans="1:47" s="34" customFormat="1" ht="21" customHeight="1">
      <c r="A252" s="84"/>
      <c r="B252" s="85"/>
      <c r="C252" s="83" t="s">
        <v>287</v>
      </c>
      <c r="D252" s="434"/>
      <c r="E252" s="434"/>
      <c r="F252" s="434">
        <v>67</v>
      </c>
      <c r="G252" s="434"/>
      <c r="H252" s="414"/>
      <c r="I252" s="314"/>
      <c r="J252" s="314"/>
      <c r="K252" s="408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314"/>
      <c r="Z252" s="314"/>
      <c r="AA252" s="314"/>
      <c r="AB252" s="314"/>
      <c r="AC252" s="314"/>
      <c r="AD252" s="314"/>
      <c r="AE252" s="314"/>
      <c r="AF252" s="314"/>
      <c r="AG252" s="314"/>
      <c r="AH252" s="314"/>
      <c r="AI252" s="314"/>
      <c r="AJ252" s="314"/>
      <c r="AK252" s="314"/>
      <c r="AL252" s="314"/>
      <c r="AM252" s="314"/>
      <c r="AN252" s="314"/>
      <c r="AO252" s="314"/>
      <c r="AP252" s="314"/>
      <c r="AQ252" s="314"/>
      <c r="AR252" s="314"/>
      <c r="AS252" s="314"/>
      <c r="AT252" s="314"/>
      <c r="AU252" s="314"/>
    </row>
    <row r="253" spans="1:47" s="34" customFormat="1" ht="21" customHeight="1">
      <c r="A253" s="84"/>
      <c r="B253" s="85"/>
      <c r="C253" s="83" t="s">
        <v>278</v>
      </c>
      <c r="D253" s="434"/>
      <c r="E253" s="434"/>
      <c r="F253" s="434">
        <f>10000+13860</f>
        <v>23860</v>
      </c>
      <c r="G253" s="434"/>
      <c r="H253" s="414"/>
      <c r="I253" s="314"/>
      <c r="J253" s="314"/>
      <c r="K253" s="408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4"/>
      <c r="AD253" s="314"/>
      <c r="AE253" s="314"/>
      <c r="AF253" s="314"/>
      <c r="AG253" s="314"/>
      <c r="AH253" s="314"/>
      <c r="AI253" s="314"/>
      <c r="AJ253" s="314"/>
      <c r="AK253" s="314"/>
      <c r="AL253" s="314"/>
      <c r="AM253" s="314"/>
      <c r="AN253" s="314"/>
      <c r="AO253" s="314"/>
      <c r="AP253" s="314"/>
      <c r="AQ253" s="314"/>
      <c r="AR253" s="314"/>
      <c r="AS253" s="314"/>
      <c r="AT253" s="314"/>
      <c r="AU253" s="314"/>
    </row>
    <row r="254" spans="1:47" s="34" customFormat="1" ht="21" customHeight="1">
      <c r="A254" s="84"/>
      <c r="B254" s="85"/>
      <c r="C254" s="83" t="s">
        <v>279</v>
      </c>
      <c r="D254" s="434">
        <f>4280-153</f>
        <v>4127</v>
      </c>
      <c r="E254" s="434"/>
      <c r="F254" s="434"/>
      <c r="G254" s="434"/>
      <c r="H254" s="414"/>
      <c r="I254" s="314"/>
      <c r="J254" s="314"/>
      <c r="K254" s="408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314"/>
      <c r="AM254" s="314"/>
      <c r="AN254" s="314"/>
      <c r="AO254" s="314"/>
      <c r="AP254" s="314"/>
      <c r="AQ254" s="314"/>
      <c r="AR254" s="314"/>
      <c r="AS254" s="314"/>
      <c r="AT254" s="314"/>
      <c r="AU254" s="314"/>
    </row>
    <row r="255" spans="1:47" s="34" customFormat="1" ht="21" customHeight="1">
      <c r="A255" s="84"/>
      <c r="B255" s="85"/>
      <c r="C255" s="83" t="s">
        <v>252</v>
      </c>
      <c r="D255" s="434">
        <f>26+1452</f>
        <v>1478</v>
      </c>
      <c r="E255" s="434"/>
      <c r="F255" s="434"/>
      <c r="G255" s="434"/>
      <c r="H255" s="414"/>
      <c r="I255" s="314"/>
      <c r="J255" s="314"/>
      <c r="K255" s="408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314"/>
      <c r="AM255" s="314"/>
      <c r="AN255" s="314"/>
      <c r="AO255" s="314"/>
      <c r="AP255" s="314"/>
      <c r="AQ255" s="314"/>
      <c r="AR255" s="314"/>
      <c r="AS255" s="314"/>
      <c r="AT255" s="314"/>
      <c r="AU255" s="314"/>
    </row>
    <row r="256" spans="1:47" s="34" customFormat="1" ht="21" customHeight="1">
      <c r="A256" s="84"/>
      <c r="B256" s="85"/>
      <c r="C256" s="83" t="s">
        <v>280</v>
      </c>
      <c r="D256" s="434">
        <v>280</v>
      </c>
      <c r="E256" s="434"/>
      <c r="F256" s="434"/>
      <c r="G256" s="434"/>
      <c r="H256" s="414"/>
      <c r="I256" s="314"/>
      <c r="J256" s="314"/>
      <c r="K256" s="408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4"/>
      <c r="AD256" s="314"/>
      <c r="AE256" s="314"/>
      <c r="AF256" s="314"/>
      <c r="AG256" s="314"/>
      <c r="AH256" s="314"/>
      <c r="AI256" s="314"/>
      <c r="AJ256" s="314"/>
      <c r="AK256" s="314"/>
      <c r="AL256" s="314"/>
      <c r="AM256" s="314"/>
      <c r="AN256" s="314"/>
      <c r="AO256" s="314"/>
      <c r="AP256" s="314"/>
      <c r="AQ256" s="314"/>
      <c r="AR256" s="314"/>
      <c r="AS256" s="314"/>
      <c r="AT256" s="314"/>
      <c r="AU256" s="314"/>
    </row>
    <row r="257" spans="1:47" s="34" customFormat="1" ht="21" customHeight="1">
      <c r="A257" s="84"/>
      <c r="B257" s="85"/>
      <c r="C257" s="83" t="s">
        <v>269</v>
      </c>
      <c r="D257" s="434">
        <v>3500</v>
      </c>
      <c r="E257" s="434"/>
      <c r="F257" s="434"/>
      <c r="G257" s="434"/>
      <c r="H257" s="414"/>
      <c r="I257" s="314"/>
      <c r="J257" s="314"/>
      <c r="K257" s="408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4"/>
      <c r="AK257" s="314"/>
      <c r="AL257" s="314"/>
      <c r="AM257" s="314"/>
      <c r="AN257" s="314"/>
      <c r="AO257" s="314"/>
      <c r="AP257" s="314"/>
      <c r="AQ257" s="314"/>
      <c r="AR257" s="314"/>
      <c r="AS257" s="314"/>
      <c r="AT257" s="314"/>
      <c r="AU257" s="314"/>
    </row>
    <row r="258" spans="1:47" s="34" customFormat="1" ht="21" customHeight="1">
      <c r="A258" s="84"/>
      <c r="B258" s="85"/>
      <c r="C258" s="83" t="s">
        <v>288</v>
      </c>
      <c r="D258" s="434">
        <v>2000</v>
      </c>
      <c r="E258" s="434"/>
      <c r="F258" s="434"/>
      <c r="G258" s="434"/>
      <c r="H258" s="414"/>
      <c r="I258" s="314"/>
      <c r="J258" s="314"/>
      <c r="K258" s="408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4"/>
      <c r="Z258" s="314"/>
      <c r="AA258" s="314"/>
      <c r="AB258" s="314"/>
      <c r="AC258" s="314"/>
      <c r="AD258" s="314"/>
      <c r="AE258" s="314"/>
      <c r="AF258" s="314"/>
      <c r="AG258" s="314"/>
      <c r="AH258" s="314"/>
      <c r="AI258" s="314"/>
      <c r="AJ258" s="314"/>
      <c r="AK258" s="314"/>
      <c r="AL258" s="314"/>
      <c r="AM258" s="314"/>
      <c r="AN258" s="314"/>
      <c r="AO258" s="314"/>
      <c r="AP258" s="314"/>
      <c r="AQ258" s="314"/>
      <c r="AR258" s="314"/>
      <c r="AS258" s="314"/>
      <c r="AT258" s="314"/>
      <c r="AU258" s="314"/>
    </row>
    <row r="259" spans="1:47" s="34" customFormat="1" ht="21" customHeight="1">
      <c r="A259" s="84"/>
      <c r="B259" s="85"/>
      <c r="C259" s="83" t="s">
        <v>253</v>
      </c>
      <c r="D259" s="434"/>
      <c r="E259" s="434"/>
      <c r="F259" s="434">
        <f>600-250</f>
        <v>350</v>
      </c>
      <c r="G259" s="434"/>
      <c r="H259" s="414"/>
      <c r="I259" s="314"/>
      <c r="J259" s="314"/>
      <c r="K259" s="408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4"/>
      <c r="AK259" s="314"/>
      <c r="AL259" s="314"/>
      <c r="AM259" s="314"/>
      <c r="AN259" s="314"/>
      <c r="AO259" s="314"/>
      <c r="AP259" s="314"/>
      <c r="AQ259" s="314"/>
      <c r="AR259" s="314"/>
      <c r="AS259" s="314"/>
      <c r="AT259" s="314"/>
      <c r="AU259" s="314"/>
    </row>
    <row r="260" spans="1:47" s="34" customFormat="1" ht="21" customHeight="1">
      <c r="A260" s="84"/>
      <c r="B260" s="85"/>
      <c r="C260" s="83" t="s">
        <v>286</v>
      </c>
      <c r="D260" s="434"/>
      <c r="E260" s="434"/>
      <c r="F260" s="434">
        <f>47+2061</f>
        <v>2108</v>
      </c>
      <c r="G260" s="434"/>
      <c r="H260" s="414"/>
      <c r="I260" s="314"/>
      <c r="J260" s="314"/>
      <c r="K260" s="408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4"/>
      <c r="W260" s="314"/>
      <c r="X260" s="314"/>
      <c r="Y260" s="314"/>
      <c r="Z260" s="314"/>
      <c r="AA260" s="314"/>
      <c r="AB260" s="314"/>
      <c r="AC260" s="314"/>
      <c r="AD260" s="314"/>
      <c r="AE260" s="314"/>
      <c r="AF260" s="314"/>
      <c r="AG260" s="314"/>
      <c r="AH260" s="314"/>
      <c r="AI260" s="314"/>
      <c r="AJ260" s="314"/>
      <c r="AK260" s="314"/>
      <c r="AL260" s="314"/>
      <c r="AM260" s="314"/>
      <c r="AN260" s="314"/>
      <c r="AO260" s="314"/>
      <c r="AP260" s="314"/>
      <c r="AQ260" s="314"/>
      <c r="AR260" s="314"/>
      <c r="AS260" s="314"/>
      <c r="AT260" s="314"/>
      <c r="AU260" s="314"/>
    </row>
    <row r="261" spans="1:47" s="34" customFormat="1" ht="21" customHeight="1">
      <c r="A261" s="84"/>
      <c r="B261" s="85"/>
      <c r="C261" s="83" t="s">
        <v>328</v>
      </c>
      <c r="D261" s="434">
        <f>176+112</f>
        <v>288</v>
      </c>
      <c r="E261" s="434"/>
      <c r="F261" s="434"/>
      <c r="G261" s="434"/>
      <c r="H261" s="414"/>
      <c r="I261" s="314"/>
      <c r="J261" s="314"/>
      <c r="K261" s="408"/>
      <c r="L261" s="314"/>
      <c r="M261" s="314"/>
      <c r="N261" s="314"/>
      <c r="O261" s="314"/>
      <c r="P261" s="314"/>
      <c r="Q261" s="314"/>
      <c r="R261" s="314"/>
      <c r="S261" s="314"/>
      <c r="T261" s="314"/>
      <c r="U261" s="314"/>
      <c r="V261" s="314"/>
      <c r="W261" s="314"/>
      <c r="X261" s="314"/>
      <c r="Y261" s="314"/>
      <c r="Z261" s="314"/>
      <c r="AA261" s="314"/>
      <c r="AB261" s="314"/>
      <c r="AC261" s="314"/>
      <c r="AD261" s="314"/>
      <c r="AE261" s="314"/>
      <c r="AF261" s="314"/>
      <c r="AG261" s="314"/>
      <c r="AH261" s="314"/>
      <c r="AI261" s="314"/>
      <c r="AJ261" s="314"/>
      <c r="AK261" s="314"/>
      <c r="AL261" s="314"/>
      <c r="AM261" s="314"/>
      <c r="AN261" s="314"/>
      <c r="AO261" s="314"/>
      <c r="AP261" s="314"/>
      <c r="AQ261" s="314"/>
      <c r="AR261" s="314"/>
      <c r="AS261" s="314"/>
      <c r="AT261" s="314"/>
      <c r="AU261" s="314"/>
    </row>
    <row r="262" spans="1:47" s="34" customFormat="1" ht="21" customHeight="1">
      <c r="A262" s="84"/>
      <c r="B262" s="86"/>
      <c r="C262" s="83" t="s">
        <v>258</v>
      </c>
      <c r="D262" s="434">
        <f>156+2812</f>
        <v>2968</v>
      </c>
      <c r="E262" s="434"/>
      <c r="F262" s="434"/>
      <c r="G262" s="434"/>
      <c r="H262" s="414"/>
      <c r="I262" s="314"/>
      <c r="J262" s="314"/>
      <c r="K262" s="408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4"/>
      <c r="AD262" s="314"/>
      <c r="AE262" s="314"/>
      <c r="AF262" s="314"/>
      <c r="AG262" s="314"/>
      <c r="AH262" s="314"/>
      <c r="AI262" s="314"/>
      <c r="AJ262" s="314"/>
      <c r="AK262" s="314"/>
      <c r="AL262" s="314"/>
      <c r="AM262" s="314"/>
      <c r="AN262" s="314"/>
      <c r="AO262" s="314"/>
      <c r="AP262" s="314"/>
      <c r="AQ262" s="314"/>
      <c r="AR262" s="314"/>
      <c r="AS262" s="314"/>
      <c r="AT262" s="314"/>
      <c r="AU262" s="314"/>
    </row>
    <row r="263" spans="1:47" s="34" customFormat="1" ht="21" customHeight="1">
      <c r="A263" s="84"/>
      <c r="B263" s="85" t="s">
        <v>276</v>
      </c>
      <c r="C263" s="83"/>
      <c r="D263" s="434">
        <f>SUM(D264:D278)</f>
        <v>79086</v>
      </c>
      <c r="E263" s="434"/>
      <c r="F263" s="434">
        <f>SUM(F264:F278)</f>
        <v>169377</v>
      </c>
      <c r="G263" s="434"/>
      <c r="H263" s="414"/>
      <c r="I263" s="314"/>
      <c r="J263" s="314"/>
      <c r="K263" s="408"/>
      <c r="L263" s="314"/>
      <c r="M263" s="314"/>
      <c r="N263" s="314"/>
      <c r="O263" s="314"/>
      <c r="P263" s="314"/>
      <c r="Q263" s="314"/>
      <c r="R263" s="314"/>
      <c r="S263" s="314"/>
      <c r="T263" s="314"/>
      <c r="U263" s="314"/>
      <c r="V263" s="314"/>
      <c r="W263" s="314"/>
      <c r="X263" s="314"/>
      <c r="Y263" s="314"/>
      <c r="Z263" s="314"/>
      <c r="AA263" s="314"/>
      <c r="AB263" s="314"/>
      <c r="AC263" s="314"/>
      <c r="AD263" s="314"/>
      <c r="AE263" s="314"/>
      <c r="AF263" s="314"/>
      <c r="AG263" s="314"/>
      <c r="AH263" s="314"/>
      <c r="AI263" s="314"/>
      <c r="AJ263" s="314"/>
      <c r="AK263" s="314"/>
      <c r="AL263" s="314"/>
      <c r="AM263" s="314"/>
      <c r="AN263" s="314"/>
      <c r="AO263" s="314"/>
      <c r="AP263" s="314"/>
      <c r="AQ263" s="314"/>
      <c r="AR263" s="314"/>
      <c r="AS263" s="314"/>
      <c r="AT263" s="314"/>
      <c r="AU263" s="314"/>
    </row>
    <row r="264" spans="1:47" s="34" customFormat="1" ht="21" customHeight="1">
      <c r="A264" s="84"/>
      <c r="B264" s="82"/>
      <c r="C264" s="83" t="s">
        <v>349</v>
      </c>
      <c r="D264" s="434"/>
      <c r="E264" s="434"/>
      <c r="F264" s="434">
        <f>58000+106056+15940-10800</f>
        <v>169196</v>
      </c>
      <c r="G264" s="434"/>
      <c r="H264" s="414"/>
      <c r="I264" s="314"/>
      <c r="J264" s="314"/>
      <c r="K264" s="408"/>
      <c r="L264" s="314"/>
      <c r="M264" s="314"/>
      <c r="N264" s="314"/>
      <c r="O264" s="314"/>
      <c r="P264" s="314"/>
      <c r="Q264" s="314"/>
      <c r="R264" s="314"/>
      <c r="S264" s="314"/>
      <c r="T264" s="314"/>
      <c r="U264" s="314"/>
      <c r="V264" s="314"/>
      <c r="W264" s="314"/>
      <c r="X264" s="314"/>
      <c r="Y264" s="314"/>
      <c r="Z264" s="314"/>
      <c r="AA264" s="314"/>
      <c r="AB264" s="314"/>
      <c r="AC264" s="314"/>
      <c r="AD264" s="314"/>
      <c r="AE264" s="314"/>
      <c r="AF264" s="314"/>
      <c r="AG264" s="314"/>
      <c r="AH264" s="314"/>
      <c r="AI264" s="314"/>
      <c r="AJ264" s="314"/>
      <c r="AK264" s="314"/>
      <c r="AL264" s="314"/>
      <c r="AM264" s="314"/>
      <c r="AN264" s="314"/>
      <c r="AO264" s="314"/>
      <c r="AP264" s="314"/>
      <c r="AQ264" s="314"/>
      <c r="AR264" s="314"/>
      <c r="AS264" s="314"/>
      <c r="AT264" s="314"/>
      <c r="AU264" s="314"/>
    </row>
    <row r="265" spans="1:47" s="34" customFormat="1" ht="21" customHeight="1">
      <c r="A265" s="84"/>
      <c r="B265" s="85"/>
      <c r="C265" s="83" t="s">
        <v>71</v>
      </c>
      <c r="D265" s="434">
        <f>15000+4200+30800-22500</f>
        <v>27500</v>
      </c>
      <c r="E265" s="434"/>
      <c r="F265" s="434"/>
      <c r="G265" s="434"/>
      <c r="H265" s="414"/>
      <c r="I265" s="314"/>
      <c r="J265" s="314"/>
      <c r="K265" s="408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4"/>
      <c r="AK265" s="314"/>
      <c r="AL265" s="314"/>
      <c r="AM265" s="314"/>
      <c r="AN265" s="314"/>
      <c r="AO265" s="314"/>
      <c r="AP265" s="314"/>
      <c r="AQ265" s="314"/>
      <c r="AR265" s="314"/>
      <c r="AS265" s="314"/>
      <c r="AT265" s="314"/>
      <c r="AU265" s="314"/>
    </row>
    <row r="266" spans="1:47" s="34" customFormat="1" ht="21" customHeight="1">
      <c r="A266" s="84"/>
      <c r="B266" s="85"/>
      <c r="C266" s="83" t="s">
        <v>72</v>
      </c>
      <c r="D266" s="434">
        <f>19000+14200-12189</f>
        <v>21011</v>
      </c>
      <c r="E266" s="434"/>
      <c r="F266" s="434"/>
      <c r="G266" s="434"/>
      <c r="H266" s="414"/>
      <c r="I266" s="314"/>
      <c r="J266" s="314"/>
      <c r="K266" s="408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4"/>
      <c r="AK266" s="314"/>
      <c r="AL266" s="314"/>
      <c r="AM266" s="314"/>
      <c r="AN266" s="314"/>
      <c r="AO266" s="314"/>
      <c r="AP266" s="314"/>
      <c r="AQ266" s="314"/>
      <c r="AR266" s="314"/>
      <c r="AS266" s="314"/>
      <c r="AT266" s="314"/>
      <c r="AU266" s="314"/>
    </row>
    <row r="267" spans="1:47" s="34" customFormat="1" ht="21" customHeight="1">
      <c r="A267" s="84"/>
      <c r="B267" s="85"/>
      <c r="C267" s="83" t="s">
        <v>73</v>
      </c>
      <c r="D267" s="434">
        <f>1000+10000+5900</f>
        <v>16900</v>
      </c>
      <c r="E267" s="434"/>
      <c r="F267" s="434"/>
      <c r="G267" s="434"/>
      <c r="H267" s="414"/>
      <c r="I267" s="314"/>
      <c r="J267" s="314"/>
      <c r="K267" s="408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/>
      <c r="AO267" s="314"/>
      <c r="AP267" s="314"/>
      <c r="AQ267" s="314"/>
      <c r="AR267" s="314"/>
      <c r="AS267" s="314"/>
      <c r="AT267" s="314"/>
      <c r="AU267" s="314"/>
    </row>
    <row r="268" spans="1:47" s="34" customFormat="1" ht="21" customHeight="1">
      <c r="A268" s="84"/>
      <c r="B268" s="85"/>
      <c r="C268" s="83" t="s">
        <v>340</v>
      </c>
      <c r="D268" s="434">
        <v>1670</v>
      </c>
      <c r="E268" s="434"/>
      <c r="F268" s="434"/>
      <c r="G268" s="434"/>
      <c r="H268" s="414"/>
      <c r="I268" s="314"/>
      <c r="J268" s="314"/>
      <c r="K268" s="408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4"/>
      <c r="AK268" s="314"/>
      <c r="AL268" s="314"/>
      <c r="AM268" s="314"/>
      <c r="AN268" s="314"/>
      <c r="AO268" s="314"/>
      <c r="AP268" s="314"/>
      <c r="AQ268" s="314"/>
      <c r="AR268" s="314"/>
      <c r="AS268" s="314"/>
      <c r="AT268" s="314"/>
      <c r="AU268" s="314"/>
    </row>
    <row r="269" spans="1:47" s="34" customFormat="1" ht="21" customHeight="1">
      <c r="A269" s="84"/>
      <c r="B269" s="85"/>
      <c r="C269" s="83" t="s">
        <v>313</v>
      </c>
      <c r="D269" s="434">
        <v>3870</v>
      </c>
      <c r="E269" s="434"/>
      <c r="F269" s="434"/>
      <c r="G269" s="434"/>
      <c r="H269" s="414"/>
      <c r="I269" s="314"/>
      <c r="J269" s="314"/>
      <c r="K269" s="408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4"/>
      <c r="AN269" s="314"/>
      <c r="AO269" s="314"/>
      <c r="AP269" s="314"/>
      <c r="AQ269" s="314"/>
      <c r="AR269" s="314"/>
      <c r="AS269" s="314"/>
      <c r="AT269" s="314"/>
      <c r="AU269" s="314"/>
    </row>
    <row r="270" spans="1:47" s="34" customFormat="1" ht="21" customHeight="1">
      <c r="A270" s="84"/>
      <c r="B270" s="85"/>
      <c r="C270" s="83" t="s">
        <v>279</v>
      </c>
      <c r="D270" s="434"/>
      <c r="E270" s="434"/>
      <c r="F270" s="434">
        <v>181</v>
      </c>
      <c r="G270" s="434"/>
      <c r="H270" s="414"/>
      <c r="I270" s="314"/>
      <c r="J270" s="314"/>
      <c r="K270" s="408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4"/>
      <c r="AD270" s="314"/>
      <c r="AE270" s="314"/>
      <c r="AF270" s="314"/>
      <c r="AG270" s="314"/>
      <c r="AH270" s="314"/>
      <c r="AI270" s="314"/>
      <c r="AJ270" s="314"/>
      <c r="AK270" s="314"/>
      <c r="AL270" s="314"/>
      <c r="AM270" s="314"/>
      <c r="AN270" s="314"/>
      <c r="AO270" s="314"/>
      <c r="AP270" s="314"/>
      <c r="AQ270" s="314"/>
      <c r="AR270" s="314"/>
      <c r="AS270" s="314"/>
      <c r="AT270" s="314"/>
      <c r="AU270" s="314"/>
    </row>
    <row r="271" spans="1:47" s="34" customFormat="1" ht="21" customHeight="1">
      <c r="A271" s="84"/>
      <c r="B271" s="85"/>
      <c r="C271" s="83" t="s">
        <v>252</v>
      </c>
      <c r="D271" s="434">
        <f>65+1000</f>
        <v>1065</v>
      </c>
      <c r="E271" s="434"/>
      <c r="F271" s="434"/>
      <c r="G271" s="434"/>
      <c r="H271" s="414"/>
      <c r="I271" s="314"/>
      <c r="J271" s="314"/>
      <c r="K271" s="408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4"/>
      <c r="AD271" s="314"/>
      <c r="AE271" s="314"/>
      <c r="AF271" s="314"/>
      <c r="AG271" s="314"/>
      <c r="AH271" s="314"/>
      <c r="AI271" s="314"/>
      <c r="AJ271" s="314"/>
      <c r="AK271" s="314"/>
      <c r="AL271" s="314"/>
      <c r="AM271" s="314"/>
      <c r="AN271" s="314"/>
      <c r="AO271" s="314"/>
      <c r="AP271" s="314"/>
      <c r="AQ271" s="314"/>
      <c r="AR271" s="314"/>
      <c r="AS271" s="314"/>
      <c r="AT271" s="314"/>
      <c r="AU271" s="314"/>
    </row>
    <row r="272" spans="1:47" s="34" customFormat="1" ht="21" customHeight="1">
      <c r="A272" s="84"/>
      <c r="B272" s="85"/>
      <c r="C272" s="83" t="s">
        <v>269</v>
      </c>
      <c r="D272" s="434">
        <v>1340</v>
      </c>
      <c r="E272" s="434"/>
      <c r="F272" s="434"/>
      <c r="G272" s="434"/>
      <c r="H272" s="414"/>
      <c r="I272" s="314"/>
      <c r="J272" s="314"/>
      <c r="K272" s="408"/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4"/>
      <c r="AD272" s="314"/>
      <c r="AE272" s="314"/>
      <c r="AF272" s="314"/>
      <c r="AG272" s="314"/>
      <c r="AH272" s="314"/>
      <c r="AI272" s="314"/>
      <c r="AJ272" s="314"/>
      <c r="AK272" s="314"/>
      <c r="AL272" s="314"/>
      <c r="AM272" s="314"/>
      <c r="AN272" s="314"/>
      <c r="AO272" s="314"/>
      <c r="AP272" s="314"/>
      <c r="AQ272" s="314"/>
      <c r="AR272" s="314"/>
      <c r="AS272" s="314"/>
      <c r="AT272" s="314"/>
      <c r="AU272" s="314"/>
    </row>
    <row r="273" spans="1:47" s="34" customFormat="1" ht="21" customHeight="1">
      <c r="A273" s="84"/>
      <c r="B273" s="85"/>
      <c r="C273" s="83" t="s">
        <v>280</v>
      </c>
      <c r="D273" s="434">
        <v>85</v>
      </c>
      <c r="E273" s="434"/>
      <c r="F273" s="434"/>
      <c r="G273" s="434"/>
      <c r="H273" s="414"/>
      <c r="I273" s="314"/>
      <c r="J273" s="314"/>
      <c r="K273" s="408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4"/>
      <c r="AD273" s="314"/>
      <c r="AE273" s="314"/>
      <c r="AF273" s="314"/>
      <c r="AG273" s="314"/>
      <c r="AH273" s="314"/>
      <c r="AI273" s="314"/>
      <c r="AJ273" s="314"/>
      <c r="AK273" s="314"/>
      <c r="AL273" s="314"/>
      <c r="AM273" s="314"/>
      <c r="AN273" s="314"/>
      <c r="AO273" s="314"/>
      <c r="AP273" s="314"/>
      <c r="AQ273" s="314"/>
      <c r="AR273" s="314"/>
      <c r="AS273" s="314"/>
      <c r="AT273" s="314"/>
      <c r="AU273" s="314"/>
    </row>
    <row r="274" spans="1:47" s="34" customFormat="1" ht="21" customHeight="1">
      <c r="A274" s="84"/>
      <c r="B274" s="85"/>
      <c r="C274" s="83" t="s">
        <v>288</v>
      </c>
      <c r="D274" s="434">
        <v>1000</v>
      </c>
      <c r="E274" s="434"/>
      <c r="F274" s="434"/>
      <c r="G274" s="434"/>
      <c r="H274" s="414"/>
      <c r="I274" s="314"/>
      <c r="J274" s="314"/>
      <c r="K274" s="408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4"/>
      <c r="AG274" s="314"/>
      <c r="AH274" s="314"/>
      <c r="AI274" s="314"/>
      <c r="AJ274" s="314"/>
      <c r="AK274" s="314"/>
      <c r="AL274" s="314"/>
      <c r="AM274" s="314"/>
      <c r="AN274" s="314"/>
      <c r="AO274" s="314"/>
      <c r="AP274" s="314"/>
      <c r="AQ274" s="314"/>
      <c r="AR274" s="314"/>
      <c r="AS274" s="314"/>
      <c r="AT274" s="314"/>
      <c r="AU274" s="314"/>
    </row>
    <row r="275" spans="1:47" s="34" customFormat="1" ht="21" customHeight="1">
      <c r="A275" s="84"/>
      <c r="B275" s="85"/>
      <c r="C275" s="83" t="s">
        <v>253</v>
      </c>
      <c r="D275" s="434">
        <v>650</v>
      </c>
      <c r="E275" s="434"/>
      <c r="F275" s="434"/>
      <c r="G275" s="434"/>
      <c r="H275" s="414"/>
      <c r="I275" s="314"/>
      <c r="J275" s="314"/>
      <c r="K275" s="408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/>
      <c r="AO275" s="314"/>
      <c r="AP275" s="314"/>
      <c r="AQ275" s="314"/>
      <c r="AR275" s="314"/>
      <c r="AS275" s="314"/>
      <c r="AT275" s="314"/>
      <c r="AU275" s="314"/>
    </row>
    <row r="276" spans="1:47" s="34" customFormat="1" ht="21" customHeight="1">
      <c r="A276" s="84"/>
      <c r="B276" s="85"/>
      <c r="C276" s="83" t="s">
        <v>286</v>
      </c>
      <c r="D276" s="434">
        <v>3083</v>
      </c>
      <c r="E276" s="434"/>
      <c r="F276" s="434"/>
      <c r="G276" s="434"/>
      <c r="H276" s="414"/>
      <c r="I276" s="314"/>
      <c r="J276" s="314"/>
      <c r="K276" s="408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  <c r="AR276" s="314"/>
      <c r="AS276" s="314"/>
      <c r="AT276" s="314"/>
      <c r="AU276" s="314"/>
    </row>
    <row r="277" spans="1:47" s="34" customFormat="1" ht="21" customHeight="1">
      <c r="A277" s="84"/>
      <c r="B277" s="85"/>
      <c r="C277" s="82" t="s">
        <v>328</v>
      </c>
      <c r="D277" s="434">
        <v>520</v>
      </c>
      <c r="E277" s="434"/>
      <c r="F277" s="434"/>
      <c r="G277" s="434"/>
      <c r="H277" s="414"/>
      <c r="I277" s="314"/>
      <c r="J277" s="314"/>
      <c r="K277" s="408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4"/>
      <c r="AG277" s="314"/>
      <c r="AH277" s="314"/>
      <c r="AI277" s="314"/>
      <c r="AJ277" s="314"/>
      <c r="AK277" s="314"/>
      <c r="AL277" s="314"/>
      <c r="AM277" s="314"/>
      <c r="AN277" s="314"/>
      <c r="AO277" s="314"/>
      <c r="AP277" s="314"/>
      <c r="AQ277" s="314"/>
      <c r="AR277" s="314"/>
      <c r="AS277" s="314"/>
      <c r="AT277" s="314"/>
      <c r="AU277" s="314"/>
    </row>
    <row r="278" spans="1:47" s="34" customFormat="1" ht="21" customHeight="1">
      <c r="A278" s="84"/>
      <c r="B278" s="86"/>
      <c r="C278" s="82" t="s">
        <v>258</v>
      </c>
      <c r="D278" s="434">
        <v>392</v>
      </c>
      <c r="E278" s="434"/>
      <c r="F278" s="434"/>
      <c r="G278" s="434"/>
      <c r="H278" s="414"/>
      <c r="I278" s="314"/>
      <c r="J278" s="314"/>
      <c r="K278" s="408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4"/>
      <c r="AD278" s="314"/>
      <c r="AE278" s="314"/>
      <c r="AF278" s="314"/>
      <c r="AG278" s="314"/>
      <c r="AH278" s="314"/>
      <c r="AI278" s="314"/>
      <c r="AJ278" s="314"/>
      <c r="AK278" s="314"/>
      <c r="AL278" s="314"/>
      <c r="AM278" s="314"/>
      <c r="AN278" s="314"/>
      <c r="AO278" s="314"/>
      <c r="AP278" s="314"/>
      <c r="AQ278" s="314"/>
      <c r="AR278" s="314"/>
      <c r="AS278" s="314"/>
      <c r="AT278" s="314"/>
      <c r="AU278" s="314"/>
    </row>
    <row r="279" spans="1:47" s="34" customFormat="1" ht="21" customHeight="1">
      <c r="A279" s="84"/>
      <c r="B279" s="85" t="s">
        <v>344</v>
      </c>
      <c r="C279" s="83"/>
      <c r="D279" s="434">
        <f>SUM(D280:D282)</f>
        <v>2100</v>
      </c>
      <c r="E279" s="434"/>
      <c r="F279" s="434"/>
      <c r="G279" s="434"/>
      <c r="H279" s="414"/>
      <c r="I279" s="314"/>
      <c r="J279" s="314"/>
      <c r="K279" s="408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</row>
    <row r="280" spans="1:47" s="34" customFormat="1" ht="21" customHeight="1">
      <c r="A280" s="84"/>
      <c r="B280" s="82"/>
      <c r="C280" s="86" t="s">
        <v>72</v>
      </c>
      <c r="D280" s="434">
        <v>1800</v>
      </c>
      <c r="E280" s="434"/>
      <c r="F280" s="434"/>
      <c r="G280" s="434"/>
      <c r="H280" s="414"/>
      <c r="I280" s="314"/>
      <c r="J280" s="314"/>
      <c r="K280" s="408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</row>
    <row r="281" spans="1:47" s="34" customFormat="1" ht="21" customHeight="1">
      <c r="A281" s="84"/>
      <c r="B281" s="85"/>
      <c r="C281" s="83" t="s">
        <v>73</v>
      </c>
      <c r="D281" s="434">
        <v>200</v>
      </c>
      <c r="E281" s="434"/>
      <c r="F281" s="434"/>
      <c r="G281" s="434"/>
      <c r="H281" s="414"/>
      <c r="I281" s="314"/>
      <c r="J281" s="314"/>
      <c r="K281" s="408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4"/>
      <c r="AD281" s="314"/>
      <c r="AE281" s="314"/>
      <c r="AF281" s="314"/>
      <c r="AG281" s="314"/>
      <c r="AH281" s="314"/>
      <c r="AI281" s="314"/>
      <c r="AJ281" s="314"/>
      <c r="AK281" s="314"/>
      <c r="AL281" s="314"/>
      <c r="AM281" s="314"/>
      <c r="AN281" s="314"/>
      <c r="AO281" s="314"/>
      <c r="AP281" s="314"/>
      <c r="AQ281" s="314"/>
      <c r="AR281" s="314"/>
      <c r="AS281" s="314"/>
      <c r="AT281" s="314"/>
      <c r="AU281" s="314"/>
    </row>
    <row r="282" spans="1:47" s="34" customFormat="1" ht="21" customHeight="1">
      <c r="A282" s="84"/>
      <c r="B282" s="86"/>
      <c r="C282" s="83" t="s">
        <v>252</v>
      </c>
      <c r="D282" s="434">
        <v>100</v>
      </c>
      <c r="E282" s="434"/>
      <c r="F282" s="434"/>
      <c r="G282" s="434"/>
      <c r="H282" s="414"/>
      <c r="I282" s="314"/>
      <c r="J282" s="314"/>
      <c r="K282" s="408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4"/>
      <c r="AD282" s="314"/>
      <c r="AE282" s="314"/>
      <c r="AF282" s="314"/>
      <c r="AG282" s="314"/>
      <c r="AH282" s="314"/>
      <c r="AI282" s="314"/>
      <c r="AJ282" s="314"/>
      <c r="AK282" s="314"/>
      <c r="AL282" s="314"/>
      <c r="AM282" s="314"/>
      <c r="AN282" s="314"/>
      <c r="AO282" s="314"/>
      <c r="AP282" s="314"/>
      <c r="AQ282" s="314"/>
      <c r="AR282" s="314"/>
      <c r="AS282" s="314"/>
      <c r="AT282" s="314"/>
      <c r="AU282" s="314"/>
    </row>
    <row r="283" spans="1:47" s="34" customFormat="1" ht="21" customHeight="1">
      <c r="A283" s="84"/>
      <c r="B283" s="85" t="s">
        <v>326</v>
      </c>
      <c r="C283" s="83"/>
      <c r="D283" s="434">
        <f>SUM(D284:D295)</f>
        <v>32512</v>
      </c>
      <c r="E283" s="434"/>
      <c r="F283" s="434">
        <f>SUM(F284:F295)</f>
        <v>2784</v>
      </c>
      <c r="G283" s="434"/>
      <c r="H283" s="414"/>
      <c r="I283" s="314"/>
      <c r="J283" s="314"/>
      <c r="K283" s="408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4"/>
      <c r="AD283" s="314"/>
      <c r="AE283" s="314"/>
      <c r="AF283" s="314"/>
      <c r="AG283" s="314"/>
      <c r="AH283" s="314"/>
      <c r="AI283" s="314"/>
      <c r="AJ283" s="314"/>
      <c r="AK283" s="314"/>
      <c r="AL283" s="314"/>
      <c r="AM283" s="314"/>
      <c r="AN283" s="314"/>
      <c r="AO283" s="314"/>
      <c r="AP283" s="314"/>
      <c r="AQ283" s="314"/>
      <c r="AR283" s="314"/>
      <c r="AS283" s="314"/>
      <c r="AT283" s="314"/>
      <c r="AU283" s="314"/>
    </row>
    <row r="284" spans="1:47" s="34" customFormat="1" ht="21" customHeight="1">
      <c r="A284" s="84"/>
      <c r="B284" s="82"/>
      <c r="C284" s="83" t="s">
        <v>71</v>
      </c>
      <c r="D284" s="434">
        <f>15000+3500</f>
        <v>18500</v>
      </c>
      <c r="E284" s="434"/>
      <c r="F284" s="434"/>
      <c r="G284" s="434"/>
      <c r="H284" s="414"/>
      <c r="I284" s="314"/>
      <c r="J284" s="314"/>
      <c r="K284" s="408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4"/>
      <c r="AD284" s="314"/>
      <c r="AE284" s="314"/>
      <c r="AF284" s="314"/>
      <c r="AG284" s="314"/>
      <c r="AH284" s="314"/>
      <c r="AI284" s="314"/>
      <c r="AJ284" s="314"/>
      <c r="AK284" s="314"/>
      <c r="AL284" s="314"/>
      <c r="AM284" s="314"/>
      <c r="AN284" s="314"/>
      <c r="AO284" s="314"/>
      <c r="AP284" s="314"/>
      <c r="AQ284" s="314"/>
      <c r="AR284" s="314"/>
      <c r="AS284" s="314"/>
      <c r="AT284" s="314"/>
      <c r="AU284" s="314"/>
    </row>
    <row r="285" spans="1:47" s="34" customFormat="1" ht="21" customHeight="1">
      <c r="A285" s="84"/>
      <c r="B285" s="85"/>
      <c r="C285" s="83" t="s">
        <v>72</v>
      </c>
      <c r="D285" s="434">
        <f>5500+4000</f>
        <v>9500</v>
      </c>
      <c r="E285" s="434"/>
      <c r="F285" s="434"/>
      <c r="G285" s="434"/>
      <c r="H285" s="414"/>
      <c r="I285" s="314"/>
      <c r="J285" s="314"/>
      <c r="K285" s="408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4"/>
      <c r="AG285" s="314"/>
      <c r="AH285" s="314"/>
      <c r="AI285" s="314"/>
      <c r="AJ285" s="314"/>
      <c r="AK285" s="314"/>
      <c r="AL285" s="314"/>
      <c r="AM285" s="314"/>
      <c r="AN285" s="314"/>
      <c r="AO285" s="314"/>
      <c r="AP285" s="314"/>
      <c r="AQ285" s="314"/>
      <c r="AR285" s="314"/>
      <c r="AS285" s="314"/>
      <c r="AT285" s="314"/>
      <c r="AU285" s="314"/>
    </row>
    <row r="286" spans="1:47" s="34" customFormat="1" ht="21" customHeight="1">
      <c r="A286" s="84"/>
      <c r="B286" s="85"/>
      <c r="C286" s="83" t="s">
        <v>73</v>
      </c>
      <c r="D286" s="434">
        <f>1000+1500</f>
        <v>2500</v>
      </c>
      <c r="E286" s="434"/>
      <c r="F286" s="434"/>
      <c r="G286" s="434"/>
      <c r="H286" s="414"/>
      <c r="I286" s="314"/>
      <c r="J286" s="314"/>
      <c r="K286" s="408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4"/>
      <c r="AD286" s="314"/>
      <c r="AE286" s="314"/>
      <c r="AF286" s="314"/>
      <c r="AG286" s="314"/>
      <c r="AH286" s="314"/>
      <c r="AI286" s="314"/>
      <c r="AJ286" s="314"/>
      <c r="AK286" s="314"/>
      <c r="AL286" s="314"/>
      <c r="AM286" s="314"/>
      <c r="AN286" s="314"/>
      <c r="AO286" s="314"/>
      <c r="AP286" s="314"/>
      <c r="AQ286" s="314"/>
      <c r="AR286" s="314"/>
      <c r="AS286" s="314"/>
      <c r="AT286" s="314"/>
      <c r="AU286" s="314"/>
    </row>
    <row r="287" spans="1:47" s="34" customFormat="1" ht="21" customHeight="1">
      <c r="A287" s="84"/>
      <c r="B287" s="85"/>
      <c r="C287" s="83" t="s">
        <v>66</v>
      </c>
      <c r="D287" s="434"/>
      <c r="E287" s="434"/>
      <c r="F287" s="434">
        <v>545</v>
      </c>
      <c r="G287" s="434"/>
      <c r="H287" s="414"/>
      <c r="I287" s="314"/>
      <c r="J287" s="314"/>
      <c r="K287" s="408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4"/>
      <c r="AG287" s="314"/>
      <c r="AH287" s="314"/>
      <c r="AI287" s="314"/>
      <c r="AJ287" s="314"/>
      <c r="AK287" s="314"/>
      <c r="AL287" s="314"/>
      <c r="AM287" s="314"/>
      <c r="AN287" s="314"/>
      <c r="AO287" s="314"/>
      <c r="AP287" s="314"/>
      <c r="AQ287" s="314"/>
      <c r="AR287" s="314"/>
      <c r="AS287" s="314"/>
      <c r="AT287" s="314"/>
      <c r="AU287" s="314"/>
    </row>
    <row r="288" spans="1:47" s="34" customFormat="1" ht="21" customHeight="1">
      <c r="A288" s="84"/>
      <c r="B288" s="85"/>
      <c r="C288" s="83" t="s">
        <v>279</v>
      </c>
      <c r="D288" s="434">
        <f>311+334</f>
        <v>645</v>
      </c>
      <c r="E288" s="434"/>
      <c r="F288" s="434"/>
      <c r="G288" s="434"/>
      <c r="H288" s="414"/>
      <c r="I288" s="314"/>
      <c r="J288" s="314"/>
      <c r="K288" s="408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4"/>
      <c r="AD288" s="314"/>
      <c r="AE288" s="314"/>
      <c r="AF288" s="314"/>
      <c r="AG288" s="314"/>
      <c r="AH288" s="314"/>
      <c r="AI288" s="314"/>
      <c r="AJ288" s="314"/>
      <c r="AK288" s="314"/>
      <c r="AL288" s="314"/>
      <c r="AM288" s="314"/>
      <c r="AN288" s="314"/>
      <c r="AO288" s="314"/>
      <c r="AP288" s="314"/>
      <c r="AQ288" s="314"/>
      <c r="AR288" s="314"/>
      <c r="AS288" s="314"/>
      <c r="AT288" s="314"/>
      <c r="AU288" s="314"/>
    </row>
    <row r="289" spans="1:47" s="34" customFormat="1" ht="21" customHeight="1">
      <c r="A289" s="84"/>
      <c r="B289" s="85"/>
      <c r="C289" s="83" t="s">
        <v>252</v>
      </c>
      <c r="D289" s="434">
        <v>56</v>
      </c>
      <c r="E289" s="434"/>
      <c r="F289" s="434"/>
      <c r="G289" s="434"/>
      <c r="H289" s="414"/>
      <c r="I289" s="314"/>
      <c r="J289" s="314"/>
      <c r="K289" s="408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4"/>
      <c r="AD289" s="314"/>
      <c r="AE289" s="314"/>
      <c r="AF289" s="314"/>
      <c r="AG289" s="314"/>
      <c r="AH289" s="314"/>
      <c r="AI289" s="314"/>
      <c r="AJ289" s="314"/>
      <c r="AK289" s="314"/>
      <c r="AL289" s="314"/>
      <c r="AM289" s="314"/>
      <c r="AN289" s="314"/>
      <c r="AO289" s="314"/>
      <c r="AP289" s="314"/>
      <c r="AQ289" s="314"/>
      <c r="AR289" s="314"/>
      <c r="AS289" s="314"/>
      <c r="AT289" s="314"/>
      <c r="AU289" s="314"/>
    </row>
    <row r="290" spans="1:47" s="34" customFormat="1" ht="21" customHeight="1">
      <c r="A290" s="84"/>
      <c r="B290" s="85"/>
      <c r="C290" s="83" t="s">
        <v>280</v>
      </c>
      <c r="D290" s="434">
        <v>112</v>
      </c>
      <c r="E290" s="434"/>
      <c r="F290" s="434"/>
      <c r="G290" s="434"/>
      <c r="H290" s="414"/>
      <c r="I290" s="314"/>
      <c r="J290" s="314"/>
      <c r="K290" s="408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4"/>
      <c r="AD290" s="314"/>
      <c r="AE290" s="314"/>
      <c r="AF290" s="314"/>
      <c r="AG290" s="314"/>
      <c r="AH290" s="314"/>
      <c r="AI290" s="314"/>
      <c r="AJ290" s="314"/>
      <c r="AK290" s="314"/>
      <c r="AL290" s="314"/>
      <c r="AM290" s="314"/>
      <c r="AN290" s="314"/>
      <c r="AO290" s="314"/>
      <c r="AP290" s="314"/>
      <c r="AQ290" s="314"/>
      <c r="AR290" s="314"/>
      <c r="AS290" s="314"/>
      <c r="AT290" s="314"/>
      <c r="AU290" s="314"/>
    </row>
    <row r="291" spans="1:47" s="34" customFormat="1" ht="21" customHeight="1">
      <c r="A291" s="84"/>
      <c r="B291" s="85"/>
      <c r="C291" s="83" t="s">
        <v>253</v>
      </c>
      <c r="D291" s="434">
        <v>200</v>
      </c>
      <c r="E291" s="434"/>
      <c r="F291" s="434"/>
      <c r="G291" s="434"/>
      <c r="H291" s="414"/>
      <c r="I291" s="314"/>
      <c r="J291" s="314"/>
      <c r="K291" s="408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/>
      <c r="AD291" s="314"/>
      <c r="AE291" s="314"/>
      <c r="AF291" s="314"/>
      <c r="AG291" s="314"/>
      <c r="AH291" s="314"/>
      <c r="AI291" s="314"/>
      <c r="AJ291" s="314"/>
      <c r="AK291" s="314"/>
      <c r="AL291" s="314"/>
      <c r="AM291" s="314"/>
      <c r="AN291" s="314"/>
      <c r="AO291" s="314"/>
      <c r="AP291" s="314"/>
      <c r="AQ291" s="314"/>
      <c r="AR291" s="314"/>
      <c r="AS291" s="314"/>
      <c r="AT291" s="314"/>
      <c r="AU291" s="314"/>
    </row>
    <row r="292" spans="1:47" s="34" customFormat="1" ht="21" customHeight="1">
      <c r="A292" s="84"/>
      <c r="B292" s="85"/>
      <c r="C292" s="83" t="s">
        <v>286</v>
      </c>
      <c r="D292" s="434"/>
      <c r="E292" s="434"/>
      <c r="F292" s="434">
        <v>2239</v>
      </c>
      <c r="G292" s="434"/>
      <c r="H292" s="414"/>
      <c r="I292" s="314"/>
      <c r="J292" s="314"/>
      <c r="K292" s="408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4"/>
      <c r="AD292" s="314"/>
      <c r="AE292" s="314"/>
      <c r="AF292" s="314"/>
      <c r="AG292" s="314"/>
      <c r="AH292" s="314"/>
      <c r="AI292" s="314"/>
      <c r="AJ292" s="314"/>
      <c r="AK292" s="314"/>
      <c r="AL292" s="314"/>
      <c r="AM292" s="314"/>
      <c r="AN292" s="314"/>
      <c r="AO292" s="314"/>
      <c r="AP292" s="314"/>
      <c r="AQ292" s="314"/>
      <c r="AR292" s="314"/>
      <c r="AS292" s="314"/>
      <c r="AT292" s="314"/>
      <c r="AU292" s="314"/>
    </row>
    <row r="293" spans="1:47" s="34" customFormat="1" ht="21" customHeight="1">
      <c r="A293" s="84"/>
      <c r="B293" s="85"/>
      <c r="C293" s="82" t="s">
        <v>348</v>
      </c>
      <c r="D293" s="434">
        <v>318</v>
      </c>
      <c r="E293" s="434"/>
      <c r="F293" s="434"/>
      <c r="G293" s="434"/>
      <c r="H293" s="414"/>
      <c r="I293" s="314"/>
      <c r="J293" s="314"/>
      <c r="K293" s="408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4"/>
      <c r="AK293" s="314"/>
      <c r="AL293" s="314"/>
      <c r="AM293" s="314"/>
      <c r="AN293" s="314"/>
      <c r="AO293" s="314"/>
      <c r="AP293" s="314"/>
      <c r="AQ293" s="314"/>
      <c r="AR293" s="314"/>
      <c r="AS293" s="314"/>
      <c r="AT293" s="314"/>
      <c r="AU293" s="314"/>
    </row>
    <row r="294" spans="1:47" s="34" customFormat="1" ht="21" customHeight="1">
      <c r="A294" s="84"/>
      <c r="B294" s="85"/>
      <c r="C294" s="82" t="s">
        <v>328</v>
      </c>
      <c r="D294" s="434">
        <f>68+273</f>
        <v>341</v>
      </c>
      <c r="E294" s="434"/>
      <c r="F294" s="434"/>
      <c r="G294" s="434"/>
      <c r="H294" s="414"/>
      <c r="I294" s="314"/>
      <c r="J294" s="314"/>
      <c r="K294" s="408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4"/>
      <c r="AA294" s="314"/>
      <c r="AB294" s="314"/>
      <c r="AC294" s="314"/>
      <c r="AD294" s="314"/>
      <c r="AE294" s="314"/>
      <c r="AF294" s="314"/>
      <c r="AG294" s="314"/>
      <c r="AH294" s="314"/>
      <c r="AI294" s="314"/>
      <c r="AJ294" s="314"/>
      <c r="AK294" s="314"/>
      <c r="AL294" s="314"/>
      <c r="AM294" s="314"/>
      <c r="AN294" s="314"/>
      <c r="AO294" s="314"/>
      <c r="AP294" s="314"/>
      <c r="AQ294" s="314"/>
      <c r="AR294" s="314"/>
      <c r="AS294" s="314"/>
      <c r="AT294" s="314"/>
      <c r="AU294" s="314"/>
    </row>
    <row r="295" spans="1:47" s="34" customFormat="1" ht="21" customHeight="1">
      <c r="A295" s="84"/>
      <c r="B295" s="86"/>
      <c r="C295" s="82" t="s">
        <v>258</v>
      </c>
      <c r="D295" s="434">
        <v>340</v>
      </c>
      <c r="E295" s="434"/>
      <c r="F295" s="434"/>
      <c r="G295" s="434"/>
      <c r="H295" s="414"/>
      <c r="I295" s="314"/>
      <c r="J295" s="314"/>
      <c r="K295" s="408"/>
      <c r="L295" s="314"/>
      <c r="M295" s="314"/>
      <c r="N295" s="314"/>
      <c r="O295" s="314"/>
      <c r="P295" s="314"/>
      <c r="Q295" s="314"/>
      <c r="R295" s="314"/>
      <c r="S295" s="314"/>
      <c r="T295" s="314"/>
      <c r="U295" s="314"/>
      <c r="V295" s="314"/>
      <c r="W295" s="314"/>
      <c r="X295" s="314"/>
      <c r="Y295" s="314"/>
      <c r="Z295" s="314"/>
      <c r="AA295" s="314"/>
      <c r="AB295" s="314"/>
      <c r="AC295" s="314"/>
      <c r="AD295" s="314"/>
      <c r="AE295" s="314"/>
      <c r="AF295" s="314"/>
      <c r="AG295" s="314"/>
      <c r="AH295" s="314"/>
      <c r="AI295" s="314"/>
      <c r="AJ295" s="314"/>
      <c r="AK295" s="314"/>
      <c r="AL295" s="314"/>
      <c r="AM295" s="314"/>
      <c r="AN295" s="314"/>
      <c r="AO295" s="314"/>
      <c r="AP295" s="314"/>
      <c r="AQ295" s="314"/>
      <c r="AR295" s="314"/>
      <c r="AS295" s="314"/>
      <c r="AT295" s="314"/>
      <c r="AU295" s="314"/>
    </row>
    <row r="296" spans="1:47" s="34" customFormat="1" ht="21" customHeight="1">
      <c r="A296" s="84"/>
      <c r="B296" s="85" t="s">
        <v>345</v>
      </c>
      <c r="C296" s="82"/>
      <c r="D296" s="434">
        <f>SUM(D297:D301)</f>
        <v>5430</v>
      </c>
      <c r="E296" s="434"/>
      <c r="F296" s="434">
        <f>SUM(F297:F301)</f>
        <v>0</v>
      </c>
      <c r="G296" s="434"/>
      <c r="H296" s="414"/>
      <c r="I296" s="314"/>
      <c r="J296" s="314"/>
      <c r="K296" s="408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4"/>
      <c r="W296" s="314"/>
      <c r="X296" s="314"/>
      <c r="Y296" s="314"/>
      <c r="Z296" s="314"/>
      <c r="AA296" s="314"/>
      <c r="AB296" s="314"/>
      <c r="AC296" s="314"/>
      <c r="AD296" s="314"/>
      <c r="AE296" s="314"/>
      <c r="AF296" s="314"/>
      <c r="AG296" s="314"/>
      <c r="AH296" s="314"/>
      <c r="AI296" s="314"/>
      <c r="AJ296" s="314"/>
      <c r="AK296" s="314"/>
      <c r="AL296" s="314"/>
      <c r="AM296" s="314"/>
      <c r="AN296" s="314"/>
      <c r="AO296" s="314"/>
      <c r="AP296" s="314"/>
      <c r="AQ296" s="314"/>
      <c r="AR296" s="314"/>
      <c r="AS296" s="314"/>
      <c r="AT296" s="314"/>
      <c r="AU296" s="314"/>
    </row>
    <row r="297" spans="1:47" s="34" customFormat="1" ht="21" customHeight="1">
      <c r="A297" s="84"/>
      <c r="B297" s="82"/>
      <c r="C297" s="82" t="s">
        <v>71</v>
      </c>
      <c r="D297" s="434">
        <v>1200</v>
      </c>
      <c r="E297" s="434"/>
      <c r="F297" s="434"/>
      <c r="G297" s="434"/>
      <c r="H297" s="414"/>
      <c r="I297" s="314"/>
      <c r="J297" s="314"/>
      <c r="K297" s="408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4"/>
      <c r="W297" s="314"/>
      <c r="X297" s="314"/>
      <c r="Y297" s="314"/>
      <c r="Z297" s="314"/>
      <c r="AA297" s="314"/>
      <c r="AB297" s="314"/>
      <c r="AC297" s="314"/>
      <c r="AD297" s="314"/>
      <c r="AE297" s="314"/>
      <c r="AF297" s="314"/>
      <c r="AG297" s="314"/>
      <c r="AH297" s="314"/>
      <c r="AI297" s="314"/>
      <c r="AJ297" s="314"/>
      <c r="AK297" s="314"/>
      <c r="AL297" s="314"/>
      <c r="AM297" s="314"/>
      <c r="AN297" s="314"/>
      <c r="AO297" s="314"/>
      <c r="AP297" s="314"/>
      <c r="AQ297" s="314"/>
      <c r="AR297" s="314"/>
      <c r="AS297" s="314"/>
      <c r="AT297" s="314"/>
      <c r="AU297" s="314"/>
    </row>
    <row r="298" spans="1:47" s="34" customFormat="1" ht="21" customHeight="1">
      <c r="A298" s="84"/>
      <c r="B298" s="85"/>
      <c r="C298" s="82" t="s">
        <v>72</v>
      </c>
      <c r="D298" s="434">
        <v>2500</v>
      </c>
      <c r="E298" s="434"/>
      <c r="F298" s="434"/>
      <c r="G298" s="434"/>
      <c r="H298" s="414"/>
      <c r="I298" s="314"/>
      <c r="J298" s="314"/>
      <c r="K298" s="408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4"/>
      <c r="W298" s="314"/>
      <c r="X298" s="314"/>
      <c r="Y298" s="314"/>
      <c r="Z298" s="314"/>
      <c r="AA298" s="314"/>
      <c r="AB298" s="314"/>
      <c r="AC298" s="314"/>
      <c r="AD298" s="314"/>
      <c r="AE298" s="314"/>
      <c r="AF298" s="314"/>
      <c r="AG298" s="314"/>
      <c r="AH298" s="314"/>
      <c r="AI298" s="314"/>
      <c r="AJ298" s="314"/>
      <c r="AK298" s="314"/>
      <c r="AL298" s="314"/>
      <c r="AM298" s="314"/>
      <c r="AN298" s="314"/>
      <c r="AO298" s="314"/>
      <c r="AP298" s="314"/>
      <c r="AQ298" s="314"/>
      <c r="AR298" s="314"/>
      <c r="AS298" s="314"/>
      <c r="AT298" s="314"/>
      <c r="AU298" s="314"/>
    </row>
    <row r="299" spans="1:47" s="34" customFormat="1" ht="21" customHeight="1">
      <c r="A299" s="84"/>
      <c r="B299" s="85"/>
      <c r="C299" s="82" t="s">
        <v>73</v>
      </c>
      <c r="D299" s="434">
        <v>400</v>
      </c>
      <c r="E299" s="434"/>
      <c r="F299" s="434"/>
      <c r="G299" s="434"/>
      <c r="H299" s="414"/>
      <c r="I299" s="314"/>
      <c r="J299" s="314"/>
      <c r="K299" s="408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  <c r="X299" s="314"/>
      <c r="Y299" s="314"/>
      <c r="Z299" s="314"/>
      <c r="AA299" s="314"/>
      <c r="AB299" s="314"/>
      <c r="AC299" s="314"/>
      <c r="AD299" s="314"/>
      <c r="AE299" s="314"/>
      <c r="AF299" s="314"/>
      <c r="AG299" s="314"/>
      <c r="AH299" s="314"/>
      <c r="AI299" s="314"/>
      <c r="AJ299" s="314"/>
      <c r="AK299" s="314"/>
      <c r="AL299" s="314"/>
      <c r="AM299" s="314"/>
      <c r="AN299" s="314"/>
      <c r="AO299" s="314"/>
      <c r="AP299" s="314"/>
      <c r="AQ299" s="314"/>
      <c r="AR299" s="314"/>
      <c r="AS299" s="314"/>
      <c r="AT299" s="314"/>
      <c r="AU299" s="314"/>
    </row>
    <row r="300" spans="1:47" s="34" customFormat="1" ht="21" customHeight="1">
      <c r="A300" s="84"/>
      <c r="B300" s="85"/>
      <c r="C300" s="82" t="s">
        <v>269</v>
      </c>
      <c r="D300" s="434">
        <v>1200</v>
      </c>
      <c r="E300" s="434"/>
      <c r="F300" s="434"/>
      <c r="G300" s="434"/>
      <c r="H300" s="414"/>
      <c r="I300" s="314"/>
      <c r="J300" s="314"/>
      <c r="K300" s="408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4"/>
      <c r="AB300" s="314"/>
      <c r="AC300" s="314"/>
      <c r="AD300" s="314"/>
      <c r="AE300" s="314"/>
      <c r="AF300" s="314"/>
      <c r="AG300" s="314"/>
      <c r="AH300" s="314"/>
      <c r="AI300" s="314"/>
      <c r="AJ300" s="314"/>
      <c r="AK300" s="314"/>
      <c r="AL300" s="314"/>
      <c r="AM300" s="314"/>
      <c r="AN300" s="314"/>
      <c r="AO300" s="314"/>
      <c r="AP300" s="314"/>
      <c r="AQ300" s="314"/>
      <c r="AR300" s="314"/>
      <c r="AS300" s="314"/>
      <c r="AT300" s="314"/>
      <c r="AU300" s="314"/>
    </row>
    <row r="301" spans="1:47" s="34" customFormat="1" ht="21" customHeight="1">
      <c r="A301" s="84"/>
      <c r="B301" s="86"/>
      <c r="C301" s="82" t="s">
        <v>280</v>
      </c>
      <c r="D301" s="434">
        <v>130</v>
      </c>
      <c r="E301" s="434"/>
      <c r="F301" s="434"/>
      <c r="G301" s="434"/>
      <c r="H301" s="414"/>
      <c r="I301" s="314"/>
      <c r="J301" s="314"/>
      <c r="K301" s="408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4"/>
      <c r="W301" s="314"/>
      <c r="X301" s="314"/>
      <c r="Y301" s="314"/>
      <c r="Z301" s="314"/>
      <c r="AA301" s="314"/>
      <c r="AB301" s="314"/>
      <c r="AC301" s="314"/>
      <c r="AD301" s="314"/>
      <c r="AE301" s="314"/>
      <c r="AF301" s="314"/>
      <c r="AG301" s="314"/>
      <c r="AH301" s="314"/>
      <c r="AI301" s="314"/>
      <c r="AJ301" s="314"/>
      <c r="AK301" s="314"/>
      <c r="AL301" s="314"/>
      <c r="AM301" s="314"/>
      <c r="AN301" s="314"/>
      <c r="AO301" s="314"/>
      <c r="AP301" s="314"/>
      <c r="AQ301" s="314"/>
      <c r="AR301" s="314"/>
      <c r="AS301" s="314"/>
      <c r="AT301" s="314"/>
      <c r="AU301" s="314"/>
    </row>
    <row r="302" spans="1:47" s="34" customFormat="1" ht="21" customHeight="1">
      <c r="A302" s="84"/>
      <c r="B302" s="86" t="s">
        <v>219</v>
      </c>
      <c r="C302" s="83"/>
      <c r="D302" s="434">
        <f>SUM(D303:D307)</f>
        <v>1047</v>
      </c>
      <c r="E302" s="434"/>
      <c r="F302" s="434">
        <f>SUM(F303:F307)</f>
        <v>4000</v>
      </c>
      <c r="G302" s="434"/>
      <c r="H302" s="414"/>
      <c r="I302" s="314"/>
      <c r="J302" s="314"/>
      <c r="K302" s="408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4"/>
      <c r="W302" s="314"/>
      <c r="X302" s="314"/>
      <c r="Y302" s="314"/>
      <c r="Z302" s="314"/>
      <c r="AA302" s="314"/>
      <c r="AB302" s="314"/>
      <c r="AC302" s="314"/>
      <c r="AD302" s="314"/>
      <c r="AE302" s="314"/>
      <c r="AF302" s="314"/>
      <c r="AG302" s="314"/>
      <c r="AH302" s="314"/>
      <c r="AI302" s="314"/>
      <c r="AJ302" s="314"/>
      <c r="AK302" s="314"/>
      <c r="AL302" s="314"/>
      <c r="AM302" s="314"/>
      <c r="AN302" s="314"/>
      <c r="AO302" s="314"/>
      <c r="AP302" s="314"/>
      <c r="AQ302" s="314"/>
      <c r="AR302" s="314"/>
      <c r="AS302" s="314"/>
      <c r="AT302" s="314"/>
      <c r="AU302" s="314"/>
    </row>
    <row r="303" spans="1:47" s="34" customFormat="1" ht="21" customHeight="1">
      <c r="A303" s="84"/>
      <c r="B303" s="85"/>
      <c r="C303" s="85" t="s">
        <v>71</v>
      </c>
      <c r="D303" s="434">
        <v>197</v>
      </c>
      <c r="E303" s="434"/>
      <c r="F303" s="434"/>
      <c r="G303" s="434"/>
      <c r="H303" s="414"/>
      <c r="I303" s="314"/>
      <c r="J303" s="314"/>
      <c r="K303" s="408"/>
      <c r="L303" s="314"/>
      <c r="M303" s="314"/>
      <c r="N303" s="314"/>
      <c r="O303" s="314"/>
      <c r="P303" s="314"/>
      <c r="Q303" s="314"/>
      <c r="R303" s="314"/>
      <c r="S303" s="314"/>
      <c r="T303" s="314"/>
      <c r="U303" s="314"/>
      <c r="V303" s="314"/>
      <c r="W303" s="314"/>
      <c r="X303" s="314"/>
      <c r="Y303" s="314"/>
      <c r="Z303" s="314"/>
      <c r="AA303" s="314"/>
      <c r="AB303" s="314"/>
      <c r="AC303" s="314"/>
      <c r="AD303" s="314"/>
      <c r="AE303" s="314"/>
      <c r="AF303" s="314"/>
      <c r="AG303" s="314"/>
      <c r="AH303" s="314"/>
      <c r="AI303" s="314"/>
      <c r="AJ303" s="314"/>
      <c r="AK303" s="314"/>
      <c r="AL303" s="314"/>
      <c r="AM303" s="314"/>
      <c r="AN303" s="314"/>
      <c r="AO303" s="314"/>
      <c r="AP303" s="314"/>
      <c r="AQ303" s="314"/>
      <c r="AR303" s="314"/>
      <c r="AS303" s="314"/>
      <c r="AT303" s="314"/>
      <c r="AU303" s="314"/>
    </row>
    <row r="304" spans="1:47" s="34" customFormat="1" ht="21" customHeight="1">
      <c r="A304" s="84"/>
      <c r="B304" s="83"/>
      <c r="C304" s="85" t="s">
        <v>283</v>
      </c>
      <c r="D304" s="434"/>
      <c r="E304" s="434"/>
      <c r="F304" s="434">
        <v>4000</v>
      </c>
      <c r="G304" s="434"/>
      <c r="H304" s="414"/>
      <c r="I304" s="314"/>
      <c r="J304" s="314"/>
      <c r="K304" s="408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4"/>
      <c r="W304" s="314"/>
      <c r="X304" s="314"/>
      <c r="Y304" s="314"/>
      <c r="Z304" s="314"/>
      <c r="AA304" s="314"/>
      <c r="AB304" s="314"/>
      <c r="AC304" s="314"/>
      <c r="AD304" s="314"/>
      <c r="AE304" s="314"/>
      <c r="AF304" s="314"/>
      <c r="AG304" s="314"/>
      <c r="AH304" s="314"/>
      <c r="AI304" s="314"/>
      <c r="AJ304" s="314"/>
      <c r="AK304" s="314"/>
      <c r="AL304" s="314"/>
      <c r="AM304" s="314"/>
      <c r="AN304" s="314"/>
      <c r="AO304" s="314"/>
      <c r="AP304" s="314"/>
      <c r="AQ304" s="314"/>
      <c r="AR304" s="314"/>
      <c r="AS304" s="314"/>
      <c r="AT304" s="314"/>
      <c r="AU304" s="314"/>
    </row>
    <row r="305" spans="1:47" s="34" customFormat="1" ht="21" customHeight="1">
      <c r="A305" s="84"/>
      <c r="B305" s="85"/>
      <c r="C305" s="85" t="s">
        <v>278</v>
      </c>
      <c r="D305" s="434">
        <v>500</v>
      </c>
      <c r="E305" s="434"/>
      <c r="F305" s="434"/>
      <c r="G305" s="434"/>
      <c r="H305" s="414"/>
      <c r="I305" s="314"/>
      <c r="J305" s="314"/>
      <c r="K305" s="408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4"/>
      <c r="W305" s="314"/>
      <c r="X305" s="314"/>
      <c r="Y305" s="314"/>
      <c r="Z305" s="314"/>
      <c r="AA305" s="314"/>
      <c r="AB305" s="314"/>
      <c r="AC305" s="314"/>
      <c r="AD305" s="314"/>
      <c r="AE305" s="314"/>
      <c r="AF305" s="314"/>
      <c r="AG305" s="314"/>
      <c r="AH305" s="314"/>
      <c r="AI305" s="314"/>
      <c r="AJ305" s="314"/>
      <c r="AK305" s="314"/>
      <c r="AL305" s="314"/>
      <c r="AM305" s="314"/>
      <c r="AN305" s="314"/>
      <c r="AO305" s="314"/>
      <c r="AP305" s="314"/>
      <c r="AQ305" s="314"/>
      <c r="AR305" s="314"/>
      <c r="AS305" s="314"/>
      <c r="AT305" s="314"/>
      <c r="AU305" s="314"/>
    </row>
    <row r="306" spans="1:47" s="34" customFormat="1" ht="21" customHeight="1">
      <c r="A306" s="84"/>
      <c r="B306" s="85"/>
      <c r="C306" s="82" t="s">
        <v>279</v>
      </c>
      <c r="D306" s="434">
        <v>150</v>
      </c>
      <c r="E306" s="434"/>
      <c r="F306" s="434"/>
      <c r="G306" s="434"/>
      <c r="H306" s="414"/>
      <c r="I306" s="314"/>
      <c r="J306" s="314"/>
      <c r="K306" s="408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4"/>
      <c r="W306" s="314"/>
      <c r="X306" s="314"/>
      <c r="Y306" s="314"/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4"/>
      <c r="AK306" s="314"/>
      <c r="AL306" s="314"/>
      <c r="AM306" s="314"/>
      <c r="AN306" s="314"/>
      <c r="AO306" s="314"/>
      <c r="AP306" s="314"/>
      <c r="AQ306" s="314"/>
      <c r="AR306" s="314"/>
      <c r="AS306" s="314"/>
      <c r="AT306" s="314"/>
      <c r="AU306" s="314"/>
    </row>
    <row r="307" spans="1:47" s="34" customFormat="1" ht="21" customHeight="1">
      <c r="A307" s="93"/>
      <c r="B307" s="85"/>
      <c r="C307" s="82" t="s">
        <v>252</v>
      </c>
      <c r="D307" s="598">
        <v>200</v>
      </c>
      <c r="E307" s="598"/>
      <c r="F307" s="598"/>
      <c r="G307" s="598"/>
      <c r="H307" s="414"/>
      <c r="I307" s="314"/>
      <c r="J307" s="314"/>
      <c r="K307" s="408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4"/>
      <c r="W307" s="314"/>
      <c r="X307" s="314"/>
      <c r="Y307" s="314"/>
      <c r="Z307" s="314"/>
      <c r="AA307" s="314"/>
      <c r="AB307" s="314"/>
      <c r="AC307" s="314"/>
      <c r="AD307" s="314"/>
      <c r="AE307" s="314"/>
      <c r="AF307" s="314"/>
      <c r="AG307" s="314"/>
      <c r="AH307" s="314"/>
      <c r="AI307" s="314"/>
      <c r="AJ307" s="314"/>
      <c r="AK307" s="314"/>
      <c r="AL307" s="314"/>
      <c r="AM307" s="314"/>
      <c r="AN307" s="314"/>
      <c r="AO307" s="314"/>
      <c r="AP307" s="314"/>
      <c r="AQ307" s="314"/>
      <c r="AR307" s="314"/>
      <c r="AS307" s="314"/>
      <c r="AT307" s="314"/>
      <c r="AU307" s="314"/>
    </row>
    <row r="308" spans="1:47" s="161" customFormat="1" ht="21" customHeight="1">
      <c r="A308" s="171" t="s">
        <v>452</v>
      </c>
      <c r="B308" s="78" t="s">
        <v>453</v>
      </c>
      <c r="C308" s="78" t="s">
        <v>454</v>
      </c>
      <c r="D308" s="413">
        <v>562</v>
      </c>
      <c r="E308" s="413"/>
      <c r="F308" s="413"/>
      <c r="G308" s="413"/>
      <c r="H308" s="20"/>
      <c r="I308" s="412"/>
      <c r="J308" s="412"/>
      <c r="K308" s="429"/>
      <c r="L308" s="412"/>
      <c r="M308" s="412"/>
      <c r="N308" s="412"/>
      <c r="O308" s="412"/>
      <c r="P308" s="412"/>
      <c r="Q308" s="412"/>
      <c r="R308" s="412"/>
      <c r="S308" s="412"/>
      <c r="T308" s="412"/>
      <c r="U308" s="412"/>
      <c r="V308" s="412"/>
      <c r="W308" s="412"/>
      <c r="X308" s="412"/>
      <c r="Y308" s="412"/>
      <c r="Z308" s="412"/>
      <c r="AA308" s="412"/>
      <c r="AB308" s="412"/>
      <c r="AC308" s="412"/>
      <c r="AD308" s="412"/>
      <c r="AE308" s="412"/>
      <c r="AF308" s="412"/>
      <c r="AG308" s="412"/>
      <c r="AH308" s="412"/>
      <c r="AI308" s="412"/>
      <c r="AJ308" s="412"/>
      <c r="AK308" s="412"/>
      <c r="AL308" s="412"/>
      <c r="AM308" s="412"/>
      <c r="AN308" s="412"/>
      <c r="AO308" s="412"/>
      <c r="AP308" s="412"/>
      <c r="AQ308" s="412"/>
      <c r="AR308" s="412"/>
      <c r="AS308" s="412"/>
      <c r="AT308" s="412"/>
      <c r="AU308" s="412"/>
    </row>
    <row r="309" spans="1:47" s="161" customFormat="1" ht="21" customHeight="1">
      <c r="A309" s="78" t="s">
        <v>277</v>
      </c>
      <c r="B309" s="78"/>
      <c r="C309" s="78"/>
      <c r="D309" s="413"/>
      <c r="E309" s="413"/>
      <c r="F309" s="413">
        <f>F310+F311</f>
        <v>26964</v>
      </c>
      <c r="G309" s="413"/>
      <c r="H309" s="20"/>
      <c r="I309" s="412"/>
      <c r="J309" s="412"/>
      <c r="K309" s="429"/>
      <c r="L309" s="412"/>
      <c r="M309" s="412"/>
      <c r="N309" s="412"/>
      <c r="O309" s="412"/>
      <c r="P309" s="412"/>
      <c r="Q309" s="412"/>
      <c r="R309" s="412"/>
      <c r="S309" s="412"/>
      <c r="T309" s="412"/>
      <c r="U309" s="412"/>
      <c r="V309" s="412"/>
      <c r="W309" s="412"/>
      <c r="X309" s="412"/>
      <c r="Y309" s="412"/>
      <c r="Z309" s="412"/>
      <c r="AA309" s="412"/>
      <c r="AB309" s="412"/>
      <c r="AC309" s="412"/>
      <c r="AD309" s="412"/>
      <c r="AE309" s="412"/>
      <c r="AF309" s="412"/>
      <c r="AG309" s="412"/>
      <c r="AH309" s="412"/>
      <c r="AI309" s="412"/>
      <c r="AJ309" s="412"/>
      <c r="AK309" s="412"/>
      <c r="AL309" s="412"/>
      <c r="AM309" s="412"/>
      <c r="AN309" s="412"/>
      <c r="AO309" s="412"/>
      <c r="AP309" s="412"/>
      <c r="AQ309" s="412"/>
      <c r="AR309" s="412"/>
      <c r="AS309" s="412"/>
      <c r="AT309" s="412"/>
      <c r="AU309" s="412"/>
    </row>
    <row r="310" spans="1:47" s="34" customFormat="1" ht="21" customHeight="1">
      <c r="A310" s="169"/>
      <c r="B310" s="84" t="s">
        <v>353</v>
      </c>
      <c r="C310" s="86" t="s">
        <v>346</v>
      </c>
      <c r="D310" s="434"/>
      <c r="E310" s="434"/>
      <c r="F310" s="434">
        <v>15000</v>
      </c>
      <c r="G310" s="434"/>
      <c r="H310" s="414"/>
      <c r="I310" s="314"/>
      <c r="J310" s="314"/>
      <c r="K310" s="408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4"/>
      <c r="W310" s="314"/>
      <c r="X310" s="314"/>
      <c r="Y310" s="314"/>
      <c r="Z310" s="314"/>
      <c r="AA310" s="314"/>
      <c r="AB310" s="314"/>
      <c r="AC310" s="314"/>
      <c r="AD310" s="314"/>
      <c r="AE310" s="314"/>
      <c r="AF310" s="314"/>
      <c r="AG310" s="314"/>
      <c r="AH310" s="314"/>
      <c r="AI310" s="314"/>
      <c r="AJ310" s="314"/>
      <c r="AK310" s="314"/>
      <c r="AL310" s="314"/>
      <c r="AM310" s="314"/>
      <c r="AN310" s="314"/>
      <c r="AO310" s="314"/>
      <c r="AP310" s="314"/>
      <c r="AQ310" s="314"/>
      <c r="AR310" s="314"/>
      <c r="AS310" s="314"/>
      <c r="AT310" s="314"/>
      <c r="AU310" s="314"/>
    </row>
    <row r="311" spans="1:47" s="34" customFormat="1" ht="21" customHeight="1">
      <c r="A311" s="169"/>
      <c r="B311" s="146" t="s">
        <v>330</v>
      </c>
      <c r="C311" s="83" t="s">
        <v>66</v>
      </c>
      <c r="D311" s="434"/>
      <c r="E311" s="434"/>
      <c r="F311" s="434">
        <v>11964</v>
      </c>
      <c r="G311" s="434"/>
      <c r="H311" s="414"/>
      <c r="I311" s="314"/>
      <c r="J311" s="314"/>
      <c r="K311" s="408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4"/>
      <c r="W311" s="314"/>
      <c r="X311" s="314"/>
      <c r="Y311" s="314"/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4"/>
      <c r="AK311" s="314"/>
      <c r="AL311" s="314"/>
      <c r="AM311" s="314"/>
      <c r="AN311" s="314"/>
      <c r="AO311" s="314"/>
      <c r="AP311" s="314"/>
      <c r="AQ311" s="314"/>
      <c r="AR311" s="314"/>
      <c r="AS311" s="314"/>
      <c r="AT311" s="314"/>
      <c r="AU311" s="314"/>
    </row>
    <row r="312" spans="1:47" s="161" customFormat="1" ht="21" customHeight="1">
      <c r="A312" s="433" t="s">
        <v>244</v>
      </c>
      <c r="B312" s="78"/>
      <c r="C312" s="80"/>
      <c r="D312" s="413">
        <f>D313+D321+D329+D334</f>
        <v>60357</v>
      </c>
      <c r="E312" s="413"/>
      <c r="F312" s="413">
        <f>F313+F321+F329+F334</f>
        <v>0</v>
      </c>
      <c r="G312" s="413"/>
      <c r="H312" s="20"/>
      <c r="I312" s="412"/>
      <c r="J312" s="412"/>
      <c r="K312" s="429"/>
      <c r="L312" s="412"/>
      <c r="M312" s="412"/>
      <c r="N312" s="412"/>
      <c r="O312" s="412"/>
      <c r="P312" s="412"/>
      <c r="Q312" s="412"/>
      <c r="R312" s="412"/>
      <c r="S312" s="412"/>
      <c r="T312" s="412"/>
      <c r="U312" s="412"/>
      <c r="V312" s="412"/>
      <c r="W312" s="412"/>
      <c r="X312" s="412"/>
      <c r="Y312" s="412"/>
      <c r="Z312" s="412"/>
      <c r="AA312" s="412"/>
      <c r="AB312" s="412"/>
      <c r="AC312" s="412"/>
      <c r="AD312" s="412"/>
      <c r="AE312" s="412"/>
      <c r="AF312" s="412"/>
      <c r="AG312" s="412"/>
      <c r="AH312" s="412"/>
      <c r="AI312" s="412"/>
      <c r="AJ312" s="412"/>
      <c r="AK312" s="412"/>
      <c r="AL312" s="412"/>
      <c r="AM312" s="412"/>
      <c r="AN312" s="412"/>
      <c r="AO312" s="412"/>
      <c r="AP312" s="412"/>
      <c r="AQ312" s="412"/>
      <c r="AR312" s="412"/>
      <c r="AS312" s="412"/>
      <c r="AT312" s="412"/>
      <c r="AU312" s="412"/>
    </row>
    <row r="313" spans="1:47" s="34" customFormat="1" ht="21" customHeight="1">
      <c r="A313" s="81"/>
      <c r="B313" s="82" t="s">
        <v>245</v>
      </c>
      <c r="C313" s="86"/>
      <c r="D313" s="434">
        <f>SUM(D314:D320)</f>
        <v>35358</v>
      </c>
      <c r="E313" s="434"/>
      <c r="F313" s="434"/>
      <c r="G313" s="434"/>
      <c r="H313" s="414"/>
      <c r="I313" s="314"/>
      <c r="J313" s="314"/>
      <c r="K313" s="408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4"/>
      <c r="W313" s="314"/>
      <c r="X313" s="314"/>
      <c r="Y313" s="314"/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4"/>
      <c r="AK313" s="314"/>
      <c r="AL313" s="314"/>
      <c r="AM313" s="314"/>
      <c r="AN313" s="314"/>
      <c r="AO313" s="314"/>
      <c r="AP313" s="314"/>
      <c r="AQ313" s="314"/>
      <c r="AR313" s="314"/>
      <c r="AS313" s="314"/>
      <c r="AT313" s="314"/>
      <c r="AU313" s="314"/>
    </row>
    <row r="314" spans="1:47" s="34" customFormat="1" ht="21" customHeight="1">
      <c r="A314" s="444"/>
      <c r="B314" s="114"/>
      <c r="C314" s="86" t="s">
        <v>285</v>
      </c>
      <c r="D314" s="434">
        <v>200</v>
      </c>
      <c r="E314" s="434"/>
      <c r="F314" s="434"/>
      <c r="G314" s="434"/>
      <c r="H314" s="414"/>
      <c r="I314" s="314"/>
      <c r="J314" s="314"/>
      <c r="K314" s="408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4"/>
      <c r="AK314" s="314"/>
      <c r="AL314" s="314"/>
      <c r="AM314" s="314"/>
      <c r="AN314" s="314"/>
      <c r="AO314" s="314"/>
      <c r="AP314" s="314"/>
      <c r="AQ314" s="314"/>
      <c r="AR314" s="314"/>
      <c r="AS314" s="314"/>
      <c r="AT314" s="314"/>
      <c r="AU314" s="314"/>
    </row>
    <row r="315" spans="1:47" s="34" customFormat="1" ht="21" customHeight="1">
      <c r="A315" s="84"/>
      <c r="B315" s="85"/>
      <c r="C315" s="83" t="s">
        <v>71</v>
      </c>
      <c r="D315" s="434">
        <f>121+15800+1400+1950+1000</f>
        <v>20271</v>
      </c>
      <c r="E315" s="434"/>
      <c r="F315" s="434"/>
      <c r="G315" s="434"/>
      <c r="H315" s="414"/>
      <c r="I315" s="314"/>
      <c r="J315" s="314"/>
      <c r="K315" s="408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4"/>
      <c r="AD315" s="314"/>
      <c r="AE315" s="314"/>
      <c r="AF315" s="314"/>
      <c r="AG315" s="314"/>
      <c r="AH315" s="314"/>
      <c r="AI315" s="314"/>
      <c r="AJ315" s="314"/>
      <c r="AK315" s="314"/>
      <c r="AL315" s="314"/>
      <c r="AM315" s="314"/>
      <c r="AN315" s="314"/>
      <c r="AO315" s="314"/>
      <c r="AP315" s="314"/>
      <c r="AQ315" s="314"/>
      <c r="AR315" s="314"/>
      <c r="AS315" s="314"/>
      <c r="AT315" s="314"/>
      <c r="AU315" s="314"/>
    </row>
    <row r="316" spans="1:47" s="34" customFormat="1" ht="21" customHeight="1">
      <c r="A316" s="84"/>
      <c r="B316" s="85"/>
      <c r="C316" s="83" t="s">
        <v>336</v>
      </c>
      <c r="D316" s="434">
        <v>105</v>
      </c>
      <c r="E316" s="434"/>
      <c r="F316" s="434"/>
      <c r="G316" s="434"/>
      <c r="H316" s="414"/>
      <c r="I316" s="314"/>
      <c r="J316" s="314"/>
      <c r="K316" s="408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4"/>
      <c r="AK316" s="314"/>
      <c r="AL316" s="314"/>
      <c r="AM316" s="314"/>
      <c r="AN316" s="314"/>
      <c r="AO316" s="314"/>
      <c r="AP316" s="314"/>
      <c r="AQ316" s="314"/>
      <c r="AR316" s="314"/>
      <c r="AS316" s="314"/>
      <c r="AT316" s="314"/>
      <c r="AU316" s="314"/>
    </row>
    <row r="317" spans="1:47" s="34" customFormat="1" ht="21" customHeight="1">
      <c r="A317" s="84"/>
      <c r="B317" s="85"/>
      <c r="C317" s="83" t="s">
        <v>72</v>
      </c>
      <c r="D317" s="434">
        <f>21+4000+2500+1360+500</f>
        <v>8381</v>
      </c>
      <c r="E317" s="434"/>
      <c r="F317" s="434"/>
      <c r="G317" s="434"/>
      <c r="H317" s="414"/>
      <c r="I317" s="314"/>
      <c r="J317" s="314"/>
      <c r="K317" s="408"/>
      <c r="L317" s="314"/>
      <c r="M317" s="314"/>
      <c r="N317" s="314"/>
      <c r="O317" s="314"/>
      <c r="P317" s="314"/>
      <c r="Q317" s="314"/>
      <c r="R317" s="314"/>
      <c r="S317" s="314"/>
      <c r="T317" s="314"/>
      <c r="U317" s="314"/>
      <c r="V317" s="314"/>
      <c r="W317" s="314"/>
      <c r="X317" s="314"/>
      <c r="Y317" s="314"/>
      <c r="Z317" s="314"/>
      <c r="AA317" s="314"/>
      <c r="AB317" s="314"/>
      <c r="AC317" s="314"/>
      <c r="AD317" s="314"/>
      <c r="AE317" s="314"/>
      <c r="AF317" s="314"/>
      <c r="AG317" s="314"/>
      <c r="AH317" s="314"/>
      <c r="AI317" s="314"/>
      <c r="AJ317" s="314"/>
      <c r="AK317" s="314"/>
      <c r="AL317" s="314"/>
      <c r="AM317" s="314"/>
      <c r="AN317" s="314"/>
      <c r="AO317" s="314"/>
      <c r="AP317" s="314"/>
      <c r="AQ317" s="314"/>
      <c r="AR317" s="314"/>
      <c r="AS317" s="314"/>
      <c r="AT317" s="314"/>
      <c r="AU317" s="314"/>
    </row>
    <row r="318" spans="1:47" s="34" customFormat="1" ht="21" customHeight="1">
      <c r="A318" s="84"/>
      <c r="B318" s="85"/>
      <c r="C318" s="83" t="s">
        <v>73</v>
      </c>
      <c r="D318" s="434">
        <f>3+960+90+100</f>
        <v>1153</v>
      </c>
      <c r="E318" s="434"/>
      <c r="F318" s="434"/>
      <c r="G318" s="434"/>
      <c r="H318" s="414"/>
      <c r="I318" s="314"/>
      <c r="J318" s="314"/>
      <c r="K318" s="408"/>
      <c r="L318" s="314"/>
      <c r="M318" s="314"/>
      <c r="N318" s="314"/>
      <c r="O318" s="314"/>
      <c r="P318" s="314"/>
      <c r="Q318" s="314"/>
      <c r="R318" s="314"/>
      <c r="S318" s="314"/>
      <c r="T318" s="314"/>
      <c r="U318" s="314"/>
      <c r="V318" s="314"/>
      <c r="W318" s="314"/>
      <c r="X318" s="314"/>
      <c r="Y318" s="314"/>
      <c r="Z318" s="314"/>
      <c r="AA318" s="314"/>
      <c r="AB318" s="314"/>
      <c r="AC318" s="314"/>
      <c r="AD318" s="314"/>
      <c r="AE318" s="314"/>
      <c r="AF318" s="314"/>
      <c r="AG318" s="314"/>
      <c r="AH318" s="314"/>
      <c r="AI318" s="314"/>
      <c r="AJ318" s="314"/>
      <c r="AK318" s="314"/>
      <c r="AL318" s="314"/>
      <c r="AM318" s="314"/>
      <c r="AN318" s="314"/>
      <c r="AO318" s="314"/>
      <c r="AP318" s="314"/>
      <c r="AQ318" s="314"/>
      <c r="AR318" s="314"/>
      <c r="AS318" s="314"/>
      <c r="AT318" s="314"/>
      <c r="AU318" s="314"/>
    </row>
    <row r="319" spans="1:47" s="34" customFormat="1" ht="21" customHeight="1">
      <c r="A319" s="84"/>
      <c r="B319" s="85"/>
      <c r="C319" s="82" t="s">
        <v>283</v>
      </c>
      <c r="D319" s="434">
        <v>5000</v>
      </c>
      <c r="E319" s="434"/>
      <c r="F319" s="434"/>
      <c r="G319" s="434"/>
      <c r="H319" s="414"/>
      <c r="I319" s="314"/>
      <c r="J319" s="314"/>
      <c r="K319" s="408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4"/>
      <c r="W319" s="314"/>
      <c r="X319" s="314"/>
      <c r="Y319" s="314"/>
      <c r="Z319" s="314"/>
      <c r="AA319" s="314"/>
      <c r="AB319" s="314"/>
      <c r="AC319" s="314"/>
      <c r="AD319" s="314"/>
      <c r="AE319" s="314"/>
      <c r="AF319" s="314"/>
      <c r="AG319" s="314"/>
      <c r="AH319" s="314"/>
      <c r="AI319" s="314"/>
      <c r="AJ319" s="314"/>
      <c r="AK319" s="314"/>
      <c r="AL319" s="314"/>
      <c r="AM319" s="314"/>
      <c r="AN319" s="314"/>
      <c r="AO319" s="314"/>
      <c r="AP319" s="314"/>
      <c r="AQ319" s="314"/>
      <c r="AR319" s="314"/>
      <c r="AS319" s="314"/>
      <c r="AT319" s="314"/>
      <c r="AU319" s="314"/>
    </row>
    <row r="320" spans="1:47" s="34" customFormat="1" ht="21" customHeight="1">
      <c r="A320" s="84"/>
      <c r="B320" s="86"/>
      <c r="C320" s="82" t="s">
        <v>286</v>
      </c>
      <c r="D320" s="434">
        <v>248</v>
      </c>
      <c r="E320" s="434"/>
      <c r="F320" s="434"/>
      <c r="G320" s="434"/>
      <c r="H320" s="414"/>
      <c r="I320" s="314"/>
      <c r="J320" s="314"/>
      <c r="K320" s="408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4"/>
      <c r="W320" s="314"/>
      <c r="X320" s="314"/>
      <c r="Y320" s="314"/>
      <c r="Z320" s="314"/>
      <c r="AA320" s="314"/>
      <c r="AB320" s="314"/>
      <c r="AC320" s="314"/>
      <c r="AD320" s="314"/>
      <c r="AE320" s="314"/>
      <c r="AF320" s="314"/>
      <c r="AG320" s="314"/>
      <c r="AH320" s="314"/>
      <c r="AI320" s="314"/>
      <c r="AJ320" s="314"/>
      <c r="AK320" s="314"/>
      <c r="AL320" s="314"/>
      <c r="AM320" s="314"/>
      <c r="AN320" s="314"/>
      <c r="AO320" s="314"/>
      <c r="AP320" s="314"/>
      <c r="AQ320" s="314"/>
      <c r="AR320" s="314"/>
      <c r="AS320" s="314"/>
      <c r="AT320" s="314"/>
      <c r="AU320" s="314"/>
    </row>
    <row r="321" spans="1:47" s="34" customFormat="1" ht="21" customHeight="1">
      <c r="A321" s="84"/>
      <c r="B321" s="86" t="s">
        <v>347</v>
      </c>
      <c r="C321" s="83"/>
      <c r="D321" s="434">
        <f>SUM(D322:D328)</f>
        <v>21799</v>
      </c>
      <c r="E321" s="434"/>
      <c r="F321" s="434">
        <f>SUM(F322:F328)</f>
        <v>0</v>
      </c>
      <c r="G321" s="434"/>
      <c r="H321" s="414"/>
      <c r="I321" s="314"/>
      <c r="J321" s="314"/>
      <c r="K321" s="408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4"/>
      <c r="W321" s="314"/>
      <c r="X321" s="314"/>
      <c r="Y321" s="314"/>
      <c r="Z321" s="314"/>
      <c r="AA321" s="314"/>
      <c r="AB321" s="314"/>
      <c r="AC321" s="314"/>
      <c r="AD321" s="314"/>
      <c r="AE321" s="314"/>
      <c r="AF321" s="314"/>
      <c r="AG321" s="314"/>
      <c r="AH321" s="314"/>
      <c r="AI321" s="314"/>
      <c r="AJ321" s="314"/>
      <c r="AK321" s="314"/>
      <c r="AL321" s="314"/>
      <c r="AM321" s="314"/>
      <c r="AN321" s="314"/>
      <c r="AO321" s="314"/>
      <c r="AP321" s="314"/>
      <c r="AQ321" s="314"/>
      <c r="AR321" s="314"/>
      <c r="AS321" s="314"/>
      <c r="AT321" s="314"/>
      <c r="AU321" s="314"/>
    </row>
    <row r="322" spans="1:47" s="34" customFormat="1" ht="21" customHeight="1">
      <c r="A322" s="84"/>
      <c r="B322" s="85"/>
      <c r="C322" s="85" t="s">
        <v>346</v>
      </c>
      <c r="D322" s="434">
        <v>140</v>
      </c>
      <c r="E322" s="434"/>
      <c r="F322" s="434"/>
      <c r="G322" s="434"/>
      <c r="H322" s="414"/>
      <c r="I322" s="314"/>
      <c r="J322" s="314"/>
      <c r="K322" s="408"/>
      <c r="L322" s="314"/>
      <c r="M322" s="314"/>
      <c r="N322" s="314"/>
      <c r="O322" s="314"/>
      <c r="P322" s="314"/>
      <c r="Q322" s="314"/>
      <c r="R322" s="314"/>
      <c r="S322" s="314"/>
      <c r="T322" s="314"/>
      <c r="U322" s="314"/>
      <c r="V322" s="314"/>
      <c r="W322" s="314"/>
      <c r="X322" s="314"/>
      <c r="Y322" s="314"/>
      <c r="Z322" s="314"/>
      <c r="AA322" s="314"/>
      <c r="AB322" s="314"/>
      <c r="AC322" s="314"/>
      <c r="AD322" s="314"/>
      <c r="AE322" s="314"/>
      <c r="AF322" s="314"/>
      <c r="AG322" s="314"/>
      <c r="AH322" s="314"/>
      <c r="AI322" s="314"/>
      <c r="AJ322" s="314"/>
      <c r="AK322" s="314"/>
      <c r="AL322" s="314"/>
      <c r="AM322" s="314"/>
      <c r="AN322" s="314"/>
      <c r="AO322" s="314"/>
      <c r="AP322" s="314"/>
      <c r="AQ322" s="314"/>
      <c r="AR322" s="314"/>
      <c r="AS322" s="314"/>
      <c r="AT322" s="314"/>
      <c r="AU322" s="314"/>
    </row>
    <row r="323" spans="1:47" s="34" customFormat="1" ht="21" customHeight="1">
      <c r="A323" s="84"/>
      <c r="B323" s="83"/>
      <c r="C323" s="82" t="s">
        <v>71</v>
      </c>
      <c r="D323" s="434">
        <v>13800</v>
      </c>
      <c r="E323" s="434"/>
      <c r="F323" s="434"/>
      <c r="G323" s="434"/>
      <c r="H323" s="414"/>
      <c r="I323" s="314"/>
      <c r="J323" s="314"/>
      <c r="K323" s="408"/>
      <c r="L323" s="314"/>
      <c r="M323" s="314"/>
      <c r="N323" s="314"/>
      <c r="O323" s="314"/>
      <c r="P323" s="314"/>
      <c r="Q323" s="314"/>
      <c r="R323" s="314"/>
      <c r="S323" s="314"/>
      <c r="T323" s="314"/>
      <c r="U323" s="314"/>
      <c r="V323" s="314"/>
      <c r="W323" s="314"/>
      <c r="X323" s="314"/>
      <c r="Y323" s="314"/>
      <c r="Z323" s="314"/>
      <c r="AA323" s="314"/>
      <c r="AB323" s="314"/>
      <c r="AC323" s="314"/>
      <c r="AD323" s="314"/>
      <c r="AE323" s="314"/>
      <c r="AF323" s="314"/>
      <c r="AG323" s="314"/>
      <c r="AH323" s="314"/>
      <c r="AI323" s="314"/>
      <c r="AJ323" s="314"/>
      <c r="AK323" s="314"/>
      <c r="AL323" s="314"/>
      <c r="AM323" s="314"/>
      <c r="AN323" s="314"/>
      <c r="AO323" s="314"/>
      <c r="AP323" s="314"/>
      <c r="AQ323" s="314"/>
      <c r="AR323" s="314"/>
      <c r="AS323" s="314"/>
      <c r="AT323" s="314"/>
      <c r="AU323" s="314"/>
    </row>
    <row r="324" spans="1:47" s="34" customFormat="1" ht="21" customHeight="1">
      <c r="A324" s="84"/>
      <c r="B324" s="85"/>
      <c r="C324" s="82" t="s">
        <v>72</v>
      </c>
      <c r="D324" s="434">
        <v>2500</v>
      </c>
      <c r="E324" s="434"/>
      <c r="F324" s="434"/>
      <c r="G324" s="434"/>
      <c r="H324" s="414"/>
      <c r="I324" s="314"/>
      <c r="J324" s="314"/>
      <c r="K324" s="408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4"/>
      <c r="W324" s="314"/>
      <c r="X324" s="314"/>
      <c r="Y324" s="314"/>
      <c r="Z324" s="314"/>
      <c r="AA324" s="314"/>
      <c r="AB324" s="314"/>
      <c r="AC324" s="314"/>
      <c r="AD324" s="314"/>
      <c r="AE324" s="314"/>
      <c r="AF324" s="314"/>
      <c r="AG324" s="314"/>
      <c r="AH324" s="314"/>
      <c r="AI324" s="314"/>
      <c r="AJ324" s="314"/>
      <c r="AK324" s="314"/>
      <c r="AL324" s="314"/>
      <c r="AM324" s="314"/>
      <c r="AN324" s="314"/>
      <c r="AO324" s="314"/>
      <c r="AP324" s="314"/>
      <c r="AQ324" s="314"/>
      <c r="AR324" s="314"/>
      <c r="AS324" s="314"/>
      <c r="AT324" s="314"/>
      <c r="AU324" s="314"/>
    </row>
    <row r="325" spans="1:47" s="34" customFormat="1" ht="21" customHeight="1">
      <c r="A325" s="84"/>
      <c r="B325" s="85"/>
      <c r="C325" s="82" t="s">
        <v>73</v>
      </c>
      <c r="D325" s="434">
        <v>1200</v>
      </c>
      <c r="E325" s="434"/>
      <c r="F325" s="434"/>
      <c r="G325" s="434"/>
      <c r="H325" s="414"/>
      <c r="I325" s="314"/>
      <c r="J325" s="314"/>
      <c r="K325" s="408"/>
      <c r="L325" s="314"/>
      <c r="M325" s="314"/>
      <c r="N325" s="314"/>
      <c r="O325" s="314"/>
      <c r="P325" s="314"/>
      <c r="Q325" s="314"/>
      <c r="R325" s="314"/>
      <c r="S325" s="314"/>
      <c r="T325" s="314"/>
      <c r="U325" s="314"/>
      <c r="V325" s="314"/>
      <c r="W325" s="314"/>
      <c r="X325" s="314"/>
      <c r="Y325" s="314"/>
      <c r="Z325" s="314"/>
      <c r="AA325" s="314"/>
      <c r="AB325" s="314"/>
      <c r="AC325" s="314"/>
      <c r="AD325" s="314"/>
      <c r="AE325" s="314"/>
      <c r="AF325" s="314"/>
      <c r="AG325" s="314"/>
      <c r="AH325" s="314"/>
      <c r="AI325" s="314"/>
      <c r="AJ325" s="314"/>
      <c r="AK325" s="314"/>
      <c r="AL325" s="314"/>
      <c r="AM325" s="314"/>
      <c r="AN325" s="314"/>
      <c r="AO325" s="314"/>
      <c r="AP325" s="314"/>
      <c r="AQ325" s="314"/>
      <c r="AR325" s="314"/>
      <c r="AS325" s="314"/>
      <c r="AT325" s="314"/>
      <c r="AU325" s="314"/>
    </row>
    <row r="326" spans="1:47" s="34" customFormat="1" ht="21" customHeight="1">
      <c r="A326" s="84"/>
      <c r="B326" s="85"/>
      <c r="C326" s="82" t="s">
        <v>283</v>
      </c>
      <c r="D326" s="434">
        <v>3000</v>
      </c>
      <c r="E326" s="434"/>
      <c r="F326" s="434"/>
      <c r="G326" s="434"/>
      <c r="H326" s="414"/>
      <c r="I326" s="314"/>
      <c r="J326" s="314"/>
      <c r="K326" s="408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  <c r="AR326" s="314"/>
      <c r="AS326" s="314"/>
      <c r="AT326" s="314"/>
      <c r="AU326" s="314"/>
    </row>
    <row r="327" spans="1:47" s="34" customFormat="1" ht="21" customHeight="1">
      <c r="A327" s="84"/>
      <c r="B327" s="85"/>
      <c r="C327" s="82" t="s">
        <v>280</v>
      </c>
      <c r="D327" s="434">
        <v>200</v>
      </c>
      <c r="E327" s="434"/>
      <c r="F327" s="434"/>
      <c r="G327" s="434"/>
      <c r="H327" s="414"/>
      <c r="I327" s="314"/>
      <c r="J327" s="314"/>
      <c r="K327" s="408"/>
      <c r="L327" s="314"/>
      <c r="M327" s="314"/>
      <c r="N327" s="314"/>
      <c r="O327" s="314"/>
      <c r="P327" s="314"/>
      <c r="Q327" s="314"/>
      <c r="R327" s="314"/>
      <c r="S327" s="314"/>
      <c r="T327" s="314"/>
      <c r="U327" s="314"/>
      <c r="V327" s="314"/>
      <c r="W327" s="314"/>
      <c r="X327" s="314"/>
      <c r="Y327" s="314"/>
      <c r="Z327" s="314"/>
      <c r="AA327" s="314"/>
      <c r="AB327" s="314"/>
      <c r="AC327" s="314"/>
      <c r="AD327" s="314"/>
      <c r="AE327" s="314"/>
      <c r="AF327" s="314"/>
      <c r="AG327" s="314"/>
      <c r="AH327" s="314"/>
      <c r="AI327" s="314"/>
      <c r="AJ327" s="314"/>
      <c r="AK327" s="314"/>
      <c r="AL327" s="314"/>
      <c r="AM327" s="314"/>
      <c r="AN327" s="314"/>
      <c r="AO327" s="314"/>
      <c r="AP327" s="314"/>
      <c r="AQ327" s="314"/>
      <c r="AR327" s="314"/>
      <c r="AS327" s="314"/>
      <c r="AT327" s="314"/>
      <c r="AU327" s="314"/>
    </row>
    <row r="328" spans="1:47" s="34" customFormat="1" ht="21" customHeight="1">
      <c r="A328" s="84"/>
      <c r="B328" s="85"/>
      <c r="C328" s="82" t="s">
        <v>284</v>
      </c>
      <c r="D328" s="434">
        <f>1521-562</f>
        <v>959</v>
      </c>
      <c r="E328" s="434"/>
      <c r="F328" s="434"/>
      <c r="G328" s="434"/>
      <c r="H328" s="414"/>
      <c r="I328" s="314"/>
      <c r="J328" s="314"/>
      <c r="K328" s="408"/>
      <c r="L328" s="314"/>
      <c r="M328" s="314"/>
      <c r="N328" s="314"/>
      <c r="O328" s="314"/>
      <c r="P328" s="314"/>
      <c r="Q328" s="314"/>
      <c r="R328" s="314"/>
      <c r="S328" s="314"/>
      <c r="T328" s="314"/>
      <c r="U328" s="314"/>
      <c r="V328" s="314"/>
      <c r="W328" s="314"/>
      <c r="X328" s="314"/>
      <c r="Y328" s="314"/>
      <c r="Z328" s="314"/>
      <c r="AA328" s="314"/>
      <c r="AB328" s="314"/>
      <c r="AC328" s="314"/>
      <c r="AD328" s="314"/>
      <c r="AE328" s="314"/>
      <c r="AF328" s="314"/>
      <c r="AG328" s="314"/>
      <c r="AH328" s="314"/>
      <c r="AI328" s="314"/>
      <c r="AJ328" s="314"/>
      <c r="AK328" s="314"/>
      <c r="AL328" s="314"/>
      <c r="AM328" s="314"/>
      <c r="AN328" s="314"/>
      <c r="AO328" s="314"/>
      <c r="AP328" s="314"/>
      <c r="AQ328" s="314"/>
      <c r="AR328" s="314"/>
      <c r="AS328" s="314"/>
      <c r="AT328" s="314"/>
      <c r="AU328" s="314"/>
    </row>
    <row r="329" spans="1:47" s="34" customFormat="1" ht="21" customHeight="1">
      <c r="A329" s="84"/>
      <c r="B329" s="83" t="s">
        <v>304</v>
      </c>
      <c r="C329" s="83"/>
      <c r="D329" s="434">
        <f>SUM(D330:D333)</f>
        <v>1700</v>
      </c>
      <c r="E329" s="434"/>
      <c r="F329" s="434"/>
      <c r="G329" s="434"/>
      <c r="H329" s="414"/>
      <c r="I329" s="314"/>
      <c r="J329" s="314"/>
      <c r="K329" s="408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4"/>
      <c r="W329" s="314"/>
      <c r="X329" s="314"/>
      <c r="Y329" s="314"/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4"/>
      <c r="AL329" s="314"/>
      <c r="AM329" s="314"/>
      <c r="AN329" s="314"/>
      <c r="AO329" s="314"/>
      <c r="AP329" s="314"/>
      <c r="AQ329" s="314"/>
      <c r="AR329" s="314"/>
      <c r="AS329" s="314"/>
      <c r="AT329" s="314"/>
      <c r="AU329" s="314"/>
    </row>
    <row r="330" spans="1:47" s="34" customFormat="1" ht="21" customHeight="1">
      <c r="A330" s="84"/>
      <c r="B330" s="85"/>
      <c r="C330" s="85" t="s">
        <v>73</v>
      </c>
      <c r="D330" s="434">
        <v>600</v>
      </c>
      <c r="E330" s="434"/>
      <c r="F330" s="434"/>
      <c r="G330" s="434"/>
      <c r="H330" s="414"/>
      <c r="I330" s="314"/>
      <c r="J330" s="314"/>
      <c r="K330" s="408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4"/>
      <c r="W330" s="314"/>
      <c r="X330" s="314"/>
      <c r="Y330" s="314"/>
      <c r="Z330" s="314"/>
      <c r="AA330" s="314"/>
      <c r="AB330" s="314"/>
      <c r="AC330" s="314"/>
      <c r="AD330" s="314"/>
      <c r="AE330" s="314"/>
      <c r="AF330" s="314"/>
      <c r="AG330" s="314"/>
      <c r="AH330" s="314"/>
      <c r="AI330" s="314"/>
      <c r="AJ330" s="314"/>
      <c r="AK330" s="314"/>
      <c r="AL330" s="314"/>
      <c r="AM330" s="314"/>
      <c r="AN330" s="314"/>
      <c r="AO330" s="314"/>
      <c r="AP330" s="314"/>
      <c r="AQ330" s="314"/>
      <c r="AR330" s="314"/>
      <c r="AS330" s="314"/>
      <c r="AT330" s="314"/>
      <c r="AU330" s="314"/>
    </row>
    <row r="331" spans="1:47" s="34" customFormat="1" ht="21" customHeight="1">
      <c r="A331" s="84"/>
      <c r="B331" s="83"/>
      <c r="C331" s="82" t="s">
        <v>313</v>
      </c>
      <c r="D331" s="434">
        <v>250</v>
      </c>
      <c r="E331" s="434"/>
      <c r="F331" s="434"/>
      <c r="G331" s="434"/>
      <c r="H331" s="414"/>
      <c r="I331" s="314"/>
      <c r="J331" s="314"/>
      <c r="K331" s="408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/>
      <c r="AO331" s="314"/>
      <c r="AP331" s="314"/>
      <c r="AQ331" s="314"/>
      <c r="AR331" s="314"/>
      <c r="AS331" s="314"/>
      <c r="AT331" s="314"/>
      <c r="AU331" s="314"/>
    </row>
    <row r="332" spans="1:47" s="34" customFormat="1" ht="21" customHeight="1">
      <c r="A332" s="84"/>
      <c r="B332" s="85"/>
      <c r="C332" s="82" t="s">
        <v>280</v>
      </c>
      <c r="D332" s="434">
        <v>400</v>
      </c>
      <c r="E332" s="434"/>
      <c r="F332" s="434"/>
      <c r="G332" s="434"/>
      <c r="H332" s="414"/>
      <c r="I332" s="314"/>
      <c r="J332" s="314"/>
      <c r="K332" s="408"/>
      <c r="L332" s="314"/>
      <c r="M332" s="314"/>
      <c r="N332" s="314"/>
      <c r="O332" s="314"/>
      <c r="P332" s="314"/>
      <c r="Q332" s="314"/>
      <c r="R332" s="314"/>
      <c r="S332" s="314"/>
      <c r="T332" s="314"/>
      <c r="U332" s="314"/>
      <c r="V332" s="314"/>
      <c r="W332" s="314"/>
      <c r="X332" s="314"/>
      <c r="Y332" s="314"/>
      <c r="Z332" s="314"/>
      <c r="AA332" s="314"/>
      <c r="AB332" s="314"/>
      <c r="AC332" s="314"/>
      <c r="AD332" s="314"/>
      <c r="AE332" s="314"/>
      <c r="AF332" s="314"/>
      <c r="AG332" s="314"/>
      <c r="AH332" s="314"/>
      <c r="AI332" s="314"/>
      <c r="AJ332" s="314"/>
      <c r="AK332" s="314"/>
      <c r="AL332" s="314"/>
      <c r="AM332" s="314"/>
      <c r="AN332" s="314"/>
      <c r="AO332" s="314"/>
      <c r="AP332" s="314"/>
      <c r="AQ332" s="314"/>
      <c r="AR332" s="314"/>
      <c r="AS332" s="314"/>
      <c r="AT332" s="314"/>
      <c r="AU332" s="314"/>
    </row>
    <row r="333" spans="1:47" s="34" customFormat="1" ht="21" customHeight="1">
      <c r="A333" s="84"/>
      <c r="B333" s="85"/>
      <c r="C333" s="82" t="s">
        <v>288</v>
      </c>
      <c r="D333" s="434">
        <v>450</v>
      </c>
      <c r="E333" s="434"/>
      <c r="F333" s="434"/>
      <c r="G333" s="434"/>
      <c r="H333" s="414"/>
      <c r="I333" s="314"/>
      <c r="J333" s="314"/>
      <c r="K333" s="408"/>
      <c r="L333" s="314"/>
      <c r="M333" s="314"/>
      <c r="N333" s="314"/>
      <c r="O333" s="314"/>
      <c r="P333" s="314"/>
      <c r="Q333" s="314"/>
      <c r="R333" s="314"/>
      <c r="S333" s="314"/>
      <c r="T333" s="314"/>
      <c r="U333" s="314"/>
      <c r="V333" s="314"/>
      <c r="W333" s="314"/>
      <c r="X333" s="314"/>
      <c r="Y333" s="314"/>
      <c r="Z333" s="314"/>
      <c r="AA333" s="314"/>
      <c r="AB333" s="314"/>
      <c r="AC333" s="314"/>
      <c r="AD333" s="314"/>
      <c r="AE333" s="314"/>
      <c r="AF333" s="314"/>
      <c r="AG333" s="314"/>
      <c r="AH333" s="314"/>
      <c r="AI333" s="314"/>
      <c r="AJ333" s="314"/>
      <c r="AK333" s="314"/>
      <c r="AL333" s="314"/>
      <c r="AM333" s="314"/>
      <c r="AN333" s="314"/>
      <c r="AO333" s="314"/>
      <c r="AP333" s="314"/>
      <c r="AQ333" s="314"/>
      <c r="AR333" s="314"/>
      <c r="AS333" s="314"/>
      <c r="AT333" s="314"/>
      <c r="AU333" s="314"/>
    </row>
    <row r="334" spans="1:47" s="34" customFormat="1" ht="21" customHeight="1">
      <c r="A334" s="93"/>
      <c r="B334" s="83" t="s">
        <v>341</v>
      </c>
      <c r="C334" s="83" t="s">
        <v>71</v>
      </c>
      <c r="D334" s="434">
        <v>1500</v>
      </c>
      <c r="E334" s="434"/>
      <c r="F334" s="434"/>
      <c r="G334" s="434"/>
      <c r="H334" s="414"/>
      <c r="I334" s="314"/>
      <c r="J334" s="314"/>
      <c r="K334" s="408"/>
      <c r="L334" s="314"/>
      <c r="M334" s="314"/>
      <c r="N334" s="314"/>
      <c r="O334" s="314"/>
      <c r="P334" s="314"/>
      <c r="Q334" s="314"/>
      <c r="R334" s="314"/>
      <c r="S334" s="314"/>
      <c r="T334" s="314"/>
      <c r="U334" s="314"/>
      <c r="V334" s="314"/>
      <c r="W334" s="314"/>
      <c r="X334" s="314"/>
      <c r="Y334" s="314"/>
      <c r="Z334" s="314"/>
      <c r="AA334" s="314"/>
      <c r="AB334" s="314"/>
      <c r="AC334" s="314"/>
      <c r="AD334" s="314"/>
      <c r="AE334" s="314"/>
      <c r="AF334" s="314"/>
      <c r="AG334" s="314"/>
      <c r="AH334" s="314"/>
      <c r="AI334" s="314"/>
      <c r="AJ334" s="314"/>
      <c r="AK334" s="314"/>
      <c r="AL334" s="314"/>
      <c r="AM334" s="314"/>
      <c r="AN334" s="314"/>
      <c r="AO334" s="314"/>
      <c r="AP334" s="314"/>
      <c r="AQ334" s="314"/>
      <c r="AR334" s="314"/>
      <c r="AS334" s="314"/>
      <c r="AT334" s="314"/>
      <c r="AU334" s="314"/>
    </row>
    <row r="335" spans="1:47" s="161" customFormat="1" ht="21" customHeight="1">
      <c r="A335" s="456" t="s">
        <v>309</v>
      </c>
      <c r="B335" s="78" t="s">
        <v>331</v>
      </c>
      <c r="C335" s="80" t="s">
        <v>332</v>
      </c>
      <c r="D335" s="413"/>
      <c r="E335" s="413"/>
      <c r="F335" s="413">
        <v>20000</v>
      </c>
      <c r="G335" s="413"/>
      <c r="H335" s="20"/>
      <c r="I335" s="412"/>
      <c r="J335" s="412"/>
      <c r="K335" s="429"/>
      <c r="L335" s="412"/>
      <c r="M335" s="412"/>
      <c r="N335" s="412"/>
      <c r="O335" s="412"/>
      <c r="P335" s="412"/>
      <c r="Q335" s="412"/>
      <c r="R335" s="412"/>
      <c r="S335" s="412"/>
      <c r="T335" s="412"/>
      <c r="U335" s="412"/>
      <c r="V335" s="412"/>
      <c r="W335" s="412"/>
      <c r="X335" s="412"/>
      <c r="Y335" s="412"/>
      <c r="Z335" s="412"/>
      <c r="AA335" s="412"/>
      <c r="AB335" s="412"/>
      <c r="AC335" s="412"/>
      <c r="AD335" s="412"/>
      <c r="AE335" s="412"/>
      <c r="AF335" s="412"/>
      <c r="AG335" s="412"/>
      <c r="AH335" s="412"/>
      <c r="AI335" s="412"/>
      <c r="AJ335" s="412"/>
      <c r="AK335" s="412"/>
      <c r="AL335" s="412"/>
      <c r="AM335" s="412"/>
      <c r="AN335" s="412"/>
      <c r="AO335" s="412"/>
      <c r="AP335" s="412"/>
      <c r="AQ335" s="412"/>
      <c r="AR335" s="412"/>
      <c r="AS335" s="412"/>
      <c r="AT335" s="412"/>
      <c r="AU335" s="412"/>
    </row>
    <row r="336" spans="1:47" s="3" customFormat="1" ht="21.75" customHeight="1">
      <c r="A336" s="424" t="s">
        <v>9</v>
      </c>
      <c r="B336" s="425"/>
      <c r="C336" s="83"/>
      <c r="D336" s="32">
        <f>D226+D231+D232+D233+D308+D309+D312+D335</f>
        <v>380500</v>
      </c>
      <c r="E336" s="32">
        <f>E226+E231+E232+E233+E308+E309+E312+E335</f>
        <v>0</v>
      </c>
      <c r="F336" s="32">
        <f>F226+F231+F232+F233+F308+F309+F312+F335</f>
        <v>443108</v>
      </c>
      <c r="G336" s="32">
        <f>G226+G231+G232+G233+G308+G309+G312+G335</f>
        <v>0</v>
      </c>
      <c r="H336" s="20"/>
      <c r="I336" s="408"/>
      <c r="J336" s="408"/>
      <c r="K336" s="408"/>
      <c r="L336" s="408"/>
      <c r="M336" s="408"/>
      <c r="N336" s="408"/>
      <c r="O336" s="408"/>
      <c r="P336" s="408"/>
      <c r="Q336" s="408"/>
      <c r="R336" s="408"/>
      <c r="S336" s="408"/>
      <c r="T336" s="408"/>
      <c r="U336" s="408"/>
      <c r="V336" s="408"/>
      <c r="W336" s="408"/>
      <c r="X336" s="408"/>
      <c r="Y336" s="408"/>
      <c r="Z336" s="408"/>
      <c r="AA336" s="408"/>
      <c r="AB336" s="408"/>
      <c r="AC336" s="408"/>
      <c r="AD336" s="408"/>
      <c r="AE336" s="408"/>
      <c r="AF336" s="408"/>
      <c r="AG336" s="408"/>
      <c r="AH336" s="408"/>
      <c r="AI336" s="408"/>
      <c r="AJ336" s="408"/>
      <c r="AK336" s="408"/>
      <c r="AL336" s="408"/>
      <c r="AM336" s="408"/>
      <c r="AN336" s="408"/>
      <c r="AO336" s="408"/>
      <c r="AP336" s="408"/>
      <c r="AQ336" s="408"/>
      <c r="AR336" s="408"/>
      <c r="AS336" s="408"/>
      <c r="AT336" s="408"/>
      <c r="AU336" s="408"/>
    </row>
    <row r="337" spans="1:47" s="3" customFormat="1" ht="19.5" customHeight="1">
      <c r="A337" s="116"/>
      <c r="B337" s="116"/>
      <c r="C337" s="116"/>
      <c r="D337" s="27"/>
      <c r="E337" s="27"/>
      <c r="F337" s="27"/>
      <c r="G337" s="27"/>
      <c r="H337" s="20"/>
      <c r="I337" s="408"/>
      <c r="J337" s="408"/>
      <c r="K337" s="408"/>
      <c r="L337" s="408"/>
      <c r="M337" s="408"/>
      <c r="N337" s="408"/>
      <c r="O337" s="408"/>
      <c r="P337" s="408"/>
      <c r="Q337" s="408"/>
      <c r="R337" s="408"/>
      <c r="S337" s="408"/>
      <c r="T337" s="408"/>
      <c r="U337" s="408"/>
      <c r="V337" s="408"/>
      <c r="W337" s="408"/>
      <c r="X337" s="408"/>
      <c r="Y337" s="408"/>
      <c r="Z337" s="408"/>
      <c r="AA337" s="408"/>
      <c r="AB337" s="408"/>
      <c r="AC337" s="408"/>
      <c r="AD337" s="408"/>
      <c r="AE337" s="408"/>
      <c r="AF337" s="408"/>
      <c r="AG337" s="408"/>
      <c r="AH337" s="408"/>
      <c r="AI337" s="408"/>
      <c r="AJ337" s="408"/>
      <c r="AK337" s="408"/>
      <c r="AL337" s="408"/>
      <c r="AM337" s="408"/>
      <c r="AN337" s="408"/>
      <c r="AO337" s="408"/>
      <c r="AP337" s="408"/>
      <c r="AQ337" s="408"/>
      <c r="AR337" s="408"/>
      <c r="AS337" s="408"/>
      <c r="AT337" s="408"/>
      <c r="AU337" s="408"/>
    </row>
    <row r="338" spans="1:47" s="3" customFormat="1" ht="19.5" customHeight="1">
      <c r="A338" s="115"/>
      <c r="B338" s="116"/>
      <c r="C338" s="116"/>
      <c r="D338" s="116"/>
      <c r="E338" s="27"/>
      <c r="F338" s="27"/>
      <c r="G338" s="27"/>
      <c r="H338" s="27"/>
      <c r="I338" s="408"/>
      <c r="J338" s="408"/>
      <c r="K338" s="408"/>
      <c r="L338" s="408"/>
      <c r="M338" s="408"/>
      <c r="N338" s="408"/>
      <c r="O338" s="408"/>
      <c r="P338" s="408"/>
      <c r="Q338" s="408"/>
      <c r="R338" s="408"/>
      <c r="S338" s="408"/>
      <c r="T338" s="408"/>
      <c r="U338" s="408"/>
      <c r="V338" s="408"/>
      <c r="W338" s="408"/>
      <c r="X338" s="408"/>
      <c r="Y338" s="408"/>
      <c r="Z338" s="408"/>
      <c r="AA338" s="408"/>
      <c r="AB338" s="408"/>
      <c r="AC338" s="408"/>
      <c r="AD338" s="408"/>
      <c r="AE338" s="408"/>
      <c r="AF338" s="408"/>
      <c r="AG338" s="408"/>
      <c r="AH338" s="408"/>
      <c r="AI338" s="408"/>
      <c r="AJ338" s="408"/>
      <c r="AK338" s="408"/>
      <c r="AL338" s="408"/>
      <c r="AM338" s="408"/>
      <c r="AN338" s="408"/>
      <c r="AO338" s="408"/>
      <c r="AP338" s="408"/>
      <c r="AQ338" s="408"/>
      <c r="AR338" s="408"/>
      <c r="AS338" s="408"/>
      <c r="AT338" s="408"/>
      <c r="AU338" s="408"/>
    </row>
    <row r="339" spans="1:47" s="3" customFormat="1" ht="19.5" customHeight="1">
      <c r="A339" s="15" t="s">
        <v>466</v>
      </c>
      <c r="B339" s="15" t="s">
        <v>301</v>
      </c>
      <c r="C339" s="116"/>
      <c r="D339" s="116"/>
      <c r="E339" s="27"/>
      <c r="F339" s="27"/>
      <c r="G339" s="27"/>
      <c r="H339" s="27"/>
      <c r="I339" s="408"/>
      <c r="J339" s="408"/>
      <c r="K339" s="408"/>
      <c r="L339" s="408"/>
      <c r="M339" s="408"/>
      <c r="N339" s="408"/>
      <c r="O339" s="408"/>
      <c r="P339" s="408"/>
      <c r="Q339" s="408"/>
      <c r="R339" s="408"/>
      <c r="S339" s="408"/>
      <c r="T339" s="408"/>
      <c r="U339" s="408"/>
      <c r="V339" s="408"/>
      <c r="W339" s="408"/>
      <c r="X339" s="408"/>
      <c r="Y339" s="408"/>
      <c r="Z339" s="408"/>
      <c r="AA339" s="408"/>
      <c r="AB339" s="408"/>
      <c r="AC339" s="408"/>
      <c r="AD339" s="408"/>
      <c r="AE339" s="408"/>
      <c r="AF339" s="408"/>
      <c r="AG339" s="408"/>
      <c r="AH339" s="408"/>
      <c r="AI339" s="408"/>
      <c r="AJ339" s="408"/>
      <c r="AK339" s="408"/>
      <c r="AL339" s="408"/>
      <c r="AM339" s="408"/>
      <c r="AN339" s="408"/>
      <c r="AO339" s="408"/>
      <c r="AP339" s="408"/>
      <c r="AQ339" s="408"/>
      <c r="AR339" s="408"/>
      <c r="AS339" s="408"/>
      <c r="AT339" s="408"/>
      <c r="AU339" s="408"/>
    </row>
    <row r="340" spans="1:47" s="3" customFormat="1" ht="19.5" customHeight="1">
      <c r="A340" s="15"/>
      <c r="B340" s="15"/>
      <c r="C340" s="116"/>
      <c r="D340" s="116"/>
      <c r="E340" s="27"/>
      <c r="F340" s="27"/>
      <c r="G340" s="27"/>
      <c r="H340" s="27"/>
      <c r="I340" s="408"/>
      <c r="J340" s="408"/>
      <c r="K340" s="408"/>
      <c r="L340" s="408"/>
      <c r="M340" s="408"/>
      <c r="N340" s="408"/>
      <c r="O340" s="408"/>
      <c r="P340" s="408"/>
      <c r="Q340" s="408"/>
      <c r="R340" s="408"/>
      <c r="S340" s="408"/>
      <c r="T340" s="408"/>
      <c r="U340" s="408"/>
      <c r="V340" s="408"/>
      <c r="W340" s="408"/>
      <c r="X340" s="408"/>
      <c r="Y340" s="408"/>
      <c r="Z340" s="408"/>
      <c r="AA340" s="408"/>
      <c r="AB340" s="408"/>
      <c r="AC340" s="408"/>
      <c r="AD340" s="408"/>
      <c r="AE340" s="408"/>
      <c r="AF340" s="408"/>
      <c r="AG340" s="408"/>
      <c r="AH340" s="408"/>
      <c r="AI340" s="408"/>
      <c r="AJ340" s="408"/>
      <c r="AK340" s="408"/>
      <c r="AL340" s="408"/>
      <c r="AM340" s="408"/>
      <c r="AN340" s="408"/>
      <c r="AO340" s="408"/>
      <c r="AP340" s="408"/>
      <c r="AQ340" s="408"/>
      <c r="AR340" s="408"/>
      <c r="AS340" s="408"/>
      <c r="AT340" s="408"/>
      <c r="AU340" s="408"/>
    </row>
    <row r="341" spans="1:47" s="3" customFormat="1" ht="19.5" customHeight="1">
      <c r="A341" s="436"/>
      <c r="B341" s="436" t="s">
        <v>296</v>
      </c>
      <c r="C341" s="438"/>
      <c r="D341" s="438"/>
      <c r="E341" s="439"/>
      <c r="F341" s="440"/>
      <c r="G341" s="440"/>
      <c r="H341" s="440"/>
      <c r="I341" s="408"/>
      <c r="J341" s="408"/>
      <c r="K341" s="408"/>
      <c r="L341" s="408"/>
      <c r="M341" s="408"/>
      <c r="N341" s="408"/>
      <c r="O341" s="408"/>
      <c r="P341" s="408"/>
      <c r="Q341" s="408"/>
      <c r="R341" s="408"/>
      <c r="S341" s="408"/>
      <c r="T341" s="408"/>
      <c r="U341" s="408"/>
      <c r="V341" s="408"/>
      <c r="W341" s="408"/>
      <c r="X341" s="408"/>
      <c r="Y341" s="408"/>
      <c r="Z341" s="408"/>
      <c r="AA341" s="408"/>
      <c r="AB341" s="408"/>
      <c r="AC341" s="408"/>
      <c r="AD341" s="408"/>
      <c r="AE341" s="408"/>
      <c r="AF341" s="408"/>
      <c r="AG341" s="408"/>
      <c r="AH341" s="408"/>
      <c r="AI341" s="408"/>
      <c r="AJ341" s="408"/>
      <c r="AK341" s="408"/>
      <c r="AL341" s="408"/>
      <c r="AM341" s="408"/>
      <c r="AN341" s="408"/>
      <c r="AO341" s="408"/>
      <c r="AP341" s="408"/>
      <c r="AQ341" s="408"/>
      <c r="AR341" s="408"/>
      <c r="AS341" s="408"/>
      <c r="AT341" s="408"/>
      <c r="AU341" s="408"/>
    </row>
    <row r="342" spans="1:47" s="3" customFormat="1" ht="19.5" customHeight="1">
      <c r="A342" s="436"/>
      <c r="B342" s="436" t="s">
        <v>297</v>
      </c>
      <c r="C342" s="438"/>
      <c r="D342" s="438"/>
      <c r="E342" s="439"/>
      <c r="F342" s="440"/>
      <c r="G342" s="440"/>
      <c r="H342" s="440"/>
      <c r="I342" s="408"/>
      <c r="J342" s="408"/>
      <c r="K342" s="408"/>
      <c r="L342" s="408"/>
      <c r="M342" s="408"/>
      <c r="N342" s="408"/>
      <c r="O342" s="408"/>
      <c r="P342" s="408"/>
      <c r="Q342" s="408"/>
      <c r="R342" s="408"/>
      <c r="S342" s="408"/>
      <c r="T342" s="408"/>
      <c r="U342" s="408"/>
      <c r="V342" s="408"/>
      <c r="W342" s="408"/>
      <c r="X342" s="408"/>
      <c r="Y342" s="408"/>
      <c r="Z342" s="408"/>
      <c r="AA342" s="408"/>
      <c r="AB342" s="408"/>
      <c r="AC342" s="408"/>
      <c r="AD342" s="408"/>
      <c r="AE342" s="408"/>
      <c r="AF342" s="408"/>
      <c r="AG342" s="408"/>
      <c r="AH342" s="408"/>
      <c r="AI342" s="408"/>
      <c r="AJ342" s="408"/>
      <c r="AK342" s="408"/>
      <c r="AL342" s="408"/>
      <c r="AM342" s="408"/>
      <c r="AN342" s="408"/>
      <c r="AO342" s="408"/>
      <c r="AP342" s="408"/>
      <c r="AQ342" s="408"/>
      <c r="AR342" s="408"/>
      <c r="AS342" s="408"/>
      <c r="AT342" s="408"/>
      <c r="AU342" s="408"/>
    </row>
    <row r="343" spans="1:47" s="3" customFormat="1" ht="19.5" customHeight="1">
      <c r="A343" s="437"/>
      <c r="B343" s="437" t="s">
        <v>298</v>
      </c>
      <c r="C343" s="116"/>
      <c r="D343" s="116"/>
      <c r="E343" s="27"/>
      <c r="F343" s="440">
        <f>2722016-35000-156000+20024.23</f>
        <v>2551040.23</v>
      </c>
      <c r="G343" s="440" t="s">
        <v>299</v>
      </c>
      <c r="H343" s="440"/>
      <c r="I343" s="408"/>
      <c r="J343" s="408"/>
      <c r="K343" s="408"/>
      <c r="L343" s="408"/>
      <c r="M343" s="408"/>
      <c r="N343" s="408"/>
      <c r="O343" s="408"/>
      <c r="P343" s="408"/>
      <c r="Q343" s="408"/>
      <c r="R343" s="408"/>
      <c r="S343" s="408"/>
      <c r="T343" s="408"/>
      <c r="U343" s="408"/>
      <c r="V343" s="408"/>
      <c r="W343" s="408"/>
      <c r="X343" s="408"/>
      <c r="Y343" s="408"/>
      <c r="Z343" s="408"/>
      <c r="AA343" s="408"/>
      <c r="AB343" s="408"/>
      <c r="AC343" s="408"/>
      <c r="AD343" s="408"/>
      <c r="AE343" s="408"/>
      <c r="AF343" s="408"/>
      <c r="AG343" s="408"/>
      <c r="AH343" s="408"/>
      <c r="AI343" s="408"/>
      <c r="AJ343" s="408"/>
      <c r="AK343" s="408"/>
      <c r="AL343" s="408"/>
      <c r="AM343" s="408"/>
      <c r="AN343" s="408"/>
      <c r="AO343" s="408"/>
      <c r="AP343" s="408"/>
      <c r="AQ343" s="408"/>
      <c r="AR343" s="408"/>
      <c r="AS343" s="408"/>
      <c r="AT343" s="408"/>
      <c r="AU343" s="408"/>
    </row>
    <row r="344" spans="1:47" s="3" customFormat="1" ht="19.5" customHeight="1">
      <c r="A344" s="437"/>
      <c r="B344" s="437" t="s">
        <v>300</v>
      </c>
      <c r="C344" s="116"/>
      <c r="D344" s="27"/>
      <c r="E344" s="27"/>
      <c r="F344" s="440">
        <f>6277984+35000+156000+473012.76+492042.73+634944.51+150000-55903.03+200000+20000-20024.23</f>
        <v>8363056.739999999</v>
      </c>
      <c r="G344" s="440" t="s">
        <v>444</v>
      </c>
      <c r="H344" s="440"/>
      <c r="I344" s="408"/>
      <c r="J344" s="408"/>
      <c r="K344" s="408"/>
      <c r="L344" s="408"/>
      <c r="M344" s="408"/>
      <c r="N344" s="408"/>
      <c r="O344" s="408"/>
      <c r="P344" s="408"/>
      <c r="Q344" s="408"/>
      <c r="R344" s="408"/>
      <c r="S344" s="408"/>
      <c r="T344" s="408"/>
      <c r="U344" s="408"/>
      <c r="V344" s="408"/>
      <c r="W344" s="408"/>
      <c r="X344" s="408"/>
      <c r="Y344" s="408"/>
      <c r="Z344" s="408"/>
      <c r="AA344" s="408"/>
      <c r="AB344" s="408"/>
      <c r="AC344" s="408"/>
      <c r="AD344" s="408"/>
      <c r="AE344" s="408"/>
      <c r="AF344" s="408"/>
      <c r="AG344" s="408"/>
      <c r="AH344" s="408"/>
      <c r="AI344" s="408"/>
      <c r="AJ344" s="408"/>
      <c r="AK344" s="408"/>
      <c r="AL344" s="408"/>
      <c r="AM344" s="408"/>
      <c r="AN344" s="408"/>
      <c r="AO344" s="408"/>
      <c r="AP344" s="408"/>
      <c r="AQ344" s="408"/>
      <c r="AR344" s="408"/>
      <c r="AS344" s="408"/>
      <c r="AT344" s="408"/>
      <c r="AU344" s="408"/>
    </row>
    <row r="345" spans="1:47" s="3" customFormat="1" ht="21.75" customHeight="1">
      <c r="A345" s="115"/>
      <c r="B345" s="115"/>
      <c r="C345" s="97"/>
      <c r="D345" s="108"/>
      <c r="E345" s="16"/>
      <c r="F345" s="108"/>
      <c r="G345" s="27"/>
      <c r="H345" s="20"/>
      <c r="I345" s="408"/>
      <c r="J345" s="408"/>
      <c r="K345" s="408"/>
      <c r="L345" s="408"/>
      <c r="M345" s="408"/>
      <c r="N345" s="408"/>
      <c r="O345" s="408"/>
      <c r="P345" s="408"/>
      <c r="Q345" s="408"/>
      <c r="R345" s="408"/>
      <c r="S345" s="408"/>
      <c r="T345" s="408"/>
      <c r="U345" s="408"/>
      <c r="V345" s="408"/>
      <c r="W345" s="408"/>
      <c r="X345" s="408"/>
      <c r="Y345" s="408"/>
      <c r="Z345" s="408"/>
      <c r="AA345" s="408"/>
      <c r="AB345" s="408"/>
      <c r="AC345" s="408"/>
      <c r="AD345" s="408"/>
      <c r="AE345" s="408"/>
      <c r="AF345" s="408"/>
      <c r="AG345" s="408"/>
      <c r="AH345" s="408"/>
      <c r="AI345" s="408"/>
      <c r="AJ345" s="408"/>
      <c r="AK345" s="408"/>
      <c r="AL345" s="408"/>
      <c r="AM345" s="408"/>
      <c r="AN345" s="408"/>
      <c r="AO345" s="408"/>
      <c r="AP345" s="408"/>
      <c r="AQ345" s="408"/>
      <c r="AR345" s="408"/>
      <c r="AS345" s="408"/>
      <c r="AT345" s="408"/>
      <c r="AU345" s="408"/>
    </row>
    <row r="346" spans="1:47" s="3" customFormat="1" ht="16.5" customHeight="1">
      <c r="A346" s="115"/>
      <c r="B346" s="116"/>
      <c r="C346" s="97"/>
      <c r="D346" s="108"/>
      <c r="E346" s="16"/>
      <c r="F346" s="108"/>
      <c r="G346" s="27"/>
      <c r="H346" s="20"/>
      <c r="I346" s="408"/>
      <c r="J346" s="408"/>
      <c r="K346" s="408"/>
      <c r="L346" s="408"/>
      <c r="M346" s="408"/>
      <c r="N346" s="408"/>
      <c r="O346" s="408"/>
      <c r="P346" s="408"/>
      <c r="Q346" s="408"/>
      <c r="R346" s="408"/>
      <c r="S346" s="408"/>
      <c r="T346" s="408"/>
      <c r="U346" s="408"/>
      <c r="V346" s="408"/>
      <c r="W346" s="408"/>
      <c r="X346" s="408"/>
      <c r="Y346" s="408"/>
      <c r="Z346" s="408"/>
      <c r="AA346" s="408"/>
      <c r="AB346" s="408"/>
      <c r="AC346" s="408"/>
      <c r="AD346" s="408"/>
      <c r="AE346" s="408"/>
      <c r="AF346" s="408"/>
      <c r="AG346" s="408"/>
      <c r="AH346" s="408"/>
      <c r="AI346" s="408"/>
      <c r="AJ346" s="408"/>
      <c r="AK346" s="408"/>
      <c r="AL346" s="408"/>
      <c r="AM346" s="408"/>
      <c r="AN346" s="408"/>
      <c r="AO346" s="408"/>
      <c r="AP346" s="408"/>
      <c r="AQ346" s="408"/>
      <c r="AR346" s="408"/>
      <c r="AS346" s="408"/>
      <c r="AT346" s="408"/>
      <c r="AU346" s="408"/>
    </row>
    <row r="347" spans="1:47" s="3" customFormat="1" ht="15.75" customHeight="1">
      <c r="A347" s="50" t="s">
        <v>467</v>
      </c>
      <c r="B347" s="116"/>
      <c r="C347" s="97"/>
      <c r="D347" s="16"/>
      <c r="E347" s="16"/>
      <c r="F347" s="27"/>
      <c r="G347" s="27"/>
      <c r="H347" s="20"/>
      <c r="I347" s="408"/>
      <c r="J347" s="408"/>
      <c r="K347" s="408"/>
      <c r="L347" s="408"/>
      <c r="M347" s="408"/>
      <c r="N347" s="408"/>
      <c r="O347" s="408"/>
      <c r="P347" s="408"/>
      <c r="Q347" s="408"/>
      <c r="R347" s="408"/>
      <c r="S347" s="408"/>
      <c r="T347" s="408"/>
      <c r="U347" s="408"/>
      <c r="V347" s="408"/>
      <c r="W347" s="408"/>
      <c r="X347" s="408"/>
      <c r="Y347" s="408"/>
      <c r="Z347" s="408"/>
      <c r="AA347" s="408"/>
      <c r="AB347" s="408"/>
      <c r="AC347" s="408"/>
      <c r="AD347" s="408"/>
      <c r="AE347" s="408"/>
      <c r="AF347" s="408"/>
      <c r="AG347" s="408"/>
      <c r="AH347" s="408"/>
      <c r="AI347" s="408"/>
      <c r="AJ347" s="408"/>
      <c r="AK347" s="408"/>
      <c r="AL347" s="408"/>
      <c r="AM347" s="408"/>
      <c r="AN347" s="408"/>
      <c r="AO347" s="408"/>
      <c r="AP347" s="408"/>
      <c r="AQ347" s="408"/>
      <c r="AR347" s="408"/>
      <c r="AS347" s="408"/>
      <c r="AT347" s="408"/>
      <c r="AU347" s="408"/>
    </row>
    <row r="348" spans="1:47" s="3" customFormat="1" ht="18.75" customHeight="1">
      <c r="A348" s="50"/>
      <c r="B348" s="116"/>
      <c r="C348" s="97"/>
      <c r="D348" s="16"/>
      <c r="E348" s="16"/>
      <c r="F348" s="27"/>
      <c r="G348" s="27"/>
      <c r="H348" s="20"/>
      <c r="I348" s="408"/>
      <c r="J348" s="408"/>
      <c r="K348" s="408"/>
      <c r="L348" s="408"/>
      <c r="M348" s="408"/>
      <c r="N348" s="408"/>
      <c r="O348" s="408"/>
      <c r="P348" s="408"/>
      <c r="Q348" s="408"/>
      <c r="R348" s="408"/>
      <c r="S348" s="408"/>
      <c r="T348" s="408"/>
      <c r="U348" s="408"/>
      <c r="V348" s="408"/>
      <c r="W348" s="408"/>
      <c r="X348" s="408"/>
      <c r="Y348" s="408"/>
      <c r="Z348" s="408"/>
      <c r="AA348" s="408"/>
      <c r="AB348" s="408"/>
      <c r="AC348" s="408"/>
      <c r="AD348" s="408"/>
      <c r="AE348" s="408"/>
      <c r="AF348" s="408"/>
      <c r="AG348" s="408"/>
      <c r="AH348" s="408"/>
      <c r="AI348" s="408"/>
      <c r="AJ348" s="408"/>
      <c r="AK348" s="408"/>
      <c r="AL348" s="408"/>
      <c r="AM348" s="408"/>
      <c r="AN348" s="408"/>
      <c r="AO348" s="408"/>
      <c r="AP348" s="408"/>
      <c r="AQ348" s="408"/>
      <c r="AR348" s="408"/>
      <c r="AS348" s="408"/>
      <c r="AT348" s="408"/>
      <c r="AU348" s="408"/>
    </row>
    <row r="349" spans="1:47" s="3" customFormat="1" ht="21" customHeight="1">
      <c r="A349" s="50"/>
      <c r="B349" s="116"/>
      <c r="C349" s="120"/>
      <c r="D349" s="22"/>
      <c r="E349" s="16"/>
      <c r="F349" s="27"/>
      <c r="G349" s="27"/>
      <c r="H349" s="20"/>
      <c r="I349" s="408"/>
      <c r="J349" s="408"/>
      <c r="K349" s="408"/>
      <c r="L349" s="408"/>
      <c r="M349" s="408"/>
      <c r="N349" s="408"/>
      <c r="O349" s="408"/>
      <c r="P349" s="408"/>
      <c r="Q349" s="408"/>
      <c r="R349" s="408"/>
      <c r="S349" s="408"/>
      <c r="T349" s="408"/>
      <c r="U349" s="408"/>
      <c r="V349" s="408"/>
      <c r="W349" s="408"/>
      <c r="X349" s="408"/>
      <c r="Y349" s="408"/>
      <c r="Z349" s="408"/>
      <c r="AA349" s="408"/>
      <c r="AB349" s="408"/>
      <c r="AC349" s="408"/>
      <c r="AD349" s="408"/>
      <c r="AE349" s="408"/>
      <c r="AF349" s="408"/>
      <c r="AG349" s="408"/>
      <c r="AH349" s="408"/>
      <c r="AI349" s="408"/>
      <c r="AJ349" s="408"/>
      <c r="AK349" s="408"/>
      <c r="AL349" s="408"/>
      <c r="AM349" s="408"/>
      <c r="AN349" s="408"/>
      <c r="AO349" s="408"/>
      <c r="AP349" s="408"/>
      <c r="AQ349" s="408"/>
      <c r="AR349" s="408"/>
      <c r="AS349" s="408"/>
      <c r="AT349" s="408"/>
      <c r="AU349" s="408"/>
    </row>
    <row r="350" spans="1:47" s="3" customFormat="1" ht="21" customHeight="1">
      <c r="A350" s="118" t="s">
        <v>34</v>
      </c>
      <c r="B350" s="96"/>
      <c r="C350" s="120"/>
      <c r="D350" s="22"/>
      <c r="E350" s="16"/>
      <c r="F350" s="27"/>
      <c r="G350" s="27"/>
      <c r="H350" s="20"/>
      <c r="I350" s="408"/>
      <c r="J350" s="408"/>
      <c r="K350" s="408"/>
      <c r="L350" s="408"/>
      <c r="M350" s="408"/>
      <c r="N350" s="408"/>
      <c r="O350" s="408"/>
      <c r="P350" s="408"/>
      <c r="Q350" s="408"/>
      <c r="R350" s="408"/>
      <c r="S350" s="408"/>
      <c r="T350" s="408"/>
      <c r="U350" s="408"/>
      <c r="V350" s="408"/>
      <c r="W350" s="408"/>
      <c r="X350" s="408"/>
      <c r="Y350" s="408"/>
      <c r="Z350" s="408"/>
      <c r="AA350" s="408"/>
      <c r="AB350" s="408"/>
      <c r="AC350" s="408"/>
      <c r="AD350" s="408"/>
      <c r="AE350" s="408"/>
      <c r="AF350" s="408"/>
      <c r="AG350" s="408"/>
      <c r="AH350" s="408"/>
      <c r="AI350" s="408"/>
      <c r="AJ350" s="408"/>
      <c r="AK350" s="408"/>
      <c r="AL350" s="408"/>
      <c r="AM350" s="408"/>
      <c r="AN350" s="408"/>
      <c r="AO350" s="408"/>
      <c r="AP350" s="408"/>
      <c r="AQ350" s="408"/>
      <c r="AR350" s="408"/>
      <c r="AS350" s="408"/>
      <c r="AT350" s="408"/>
      <c r="AU350" s="408"/>
    </row>
    <row r="351" spans="1:47" s="3" customFormat="1" ht="21" customHeight="1">
      <c r="A351" s="119" t="s">
        <v>218</v>
      </c>
      <c r="B351" s="96"/>
      <c r="C351" s="120"/>
      <c r="D351" s="22"/>
      <c r="E351" s="16"/>
      <c r="F351" s="27"/>
      <c r="G351" s="27"/>
      <c r="H351" s="20"/>
      <c r="I351" s="408"/>
      <c r="J351" s="408"/>
      <c r="K351" s="408"/>
      <c r="L351" s="408"/>
      <c r="M351" s="408"/>
      <c r="N351" s="408"/>
      <c r="O351" s="408"/>
      <c r="P351" s="408"/>
      <c r="Q351" s="408"/>
      <c r="R351" s="408"/>
      <c r="S351" s="408"/>
      <c r="T351" s="408"/>
      <c r="U351" s="408"/>
      <c r="V351" s="408"/>
      <c r="W351" s="408"/>
      <c r="X351" s="408"/>
      <c r="Y351" s="408"/>
      <c r="Z351" s="408"/>
      <c r="AA351" s="408"/>
      <c r="AB351" s="408"/>
      <c r="AC351" s="408"/>
      <c r="AD351" s="408"/>
      <c r="AE351" s="408"/>
      <c r="AF351" s="408"/>
      <c r="AG351" s="408"/>
      <c r="AH351" s="408"/>
      <c r="AI351" s="408"/>
      <c r="AJ351" s="408"/>
      <c r="AK351" s="408"/>
      <c r="AL351" s="408"/>
      <c r="AM351" s="408"/>
      <c r="AN351" s="408"/>
      <c r="AO351" s="408"/>
      <c r="AP351" s="408"/>
      <c r="AQ351" s="408"/>
      <c r="AR351" s="408"/>
      <c r="AS351" s="408"/>
      <c r="AT351" s="408"/>
      <c r="AU351" s="408"/>
    </row>
    <row r="352" spans="1:47" s="3" customFormat="1" ht="16.5" customHeight="1">
      <c r="A352" s="119"/>
      <c r="B352" s="96"/>
      <c r="C352" s="125"/>
      <c r="D352" s="22"/>
      <c r="E352" s="16"/>
      <c r="F352" s="27"/>
      <c r="G352" s="27"/>
      <c r="H352" s="36"/>
      <c r="I352" s="408"/>
      <c r="J352" s="408"/>
      <c r="K352" s="408"/>
      <c r="L352" s="408"/>
      <c r="M352" s="408"/>
      <c r="N352" s="408"/>
      <c r="O352" s="408"/>
      <c r="P352" s="408"/>
      <c r="Q352" s="408"/>
      <c r="R352" s="408"/>
      <c r="S352" s="408"/>
      <c r="T352" s="408"/>
      <c r="U352" s="408"/>
      <c r="V352" s="408"/>
      <c r="W352" s="408"/>
      <c r="X352" s="408"/>
      <c r="Y352" s="408"/>
      <c r="Z352" s="408"/>
      <c r="AA352" s="408"/>
      <c r="AB352" s="408"/>
      <c r="AC352" s="408"/>
      <c r="AD352" s="408"/>
      <c r="AE352" s="408"/>
      <c r="AF352" s="408"/>
      <c r="AG352" s="408"/>
      <c r="AH352" s="408"/>
      <c r="AI352" s="408"/>
      <c r="AJ352" s="408"/>
      <c r="AK352" s="408"/>
      <c r="AL352" s="408"/>
      <c r="AM352" s="408"/>
      <c r="AN352" s="408"/>
      <c r="AO352" s="408"/>
      <c r="AP352" s="408"/>
      <c r="AQ352" s="408"/>
      <c r="AR352" s="408"/>
      <c r="AS352" s="408"/>
      <c r="AT352" s="408"/>
      <c r="AU352" s="408"/>
    </row>
    <row r="353" spans="1:47" s="3" customFormat="1" ht="16.5" customHeight="1">
      <c r="A353" s="119"/>
      <c r="B353" s="96"/>
      <c r="C353" s="125"/>
      <c r="D353" s="22"/>
      <c r="E353" s="16"/>
      <c r="F353" s="27"/>
      <c r="G353" s="27"/>
      <c r="H353" s="36"/>
      <c r="I353" s="408"/>
      <c r="J353" s="408"/>
      <c r="K353" s="408"/>
      <c r="L353" s="408"/>
      <c r="M353" s="408"/>
      <c r="N353" s="408"/>
      <c r="O353" s="408"/>
      <c r="P353" s="408"/>
      <c r="Q353" s="408"/>
      <c r="R353" s="408"/>
      <c r="S353" s="408"/>
      <c r="T353" s="408"/>
      <c r="U353" s="408"/>
      <c r="V353" s="408"/>
      <c r="W353" s="408"/>
      <c r="X353" s="408"/>
      <c r="Y353" s="408"/>
      <c r="Z353" s="408"/>
      <c r="AA353" s="408"/>
      <c r="AB353" s="408"/>
      <c r="AC353" s="408"/>
      <c r="AD353" s="408"/>
      <c r="AE353" s="408"/>
      <c r="AF353" s="408"/>
      <c r="AG353" s="408"/>
      <c r="AH353" s="408"/>
      <c r="AI353" s="408"/>
      <c r="AJ353" s="408"/>
      <c r="AK353" s="408"/>
      <c r="AL353" s="408"/>
      <c r="AM353" s="408"/>
      <c r="AN353" s="408"/>
      <c r="AO353" s="408"/>
      <c r="AP353" s="408"/>
      <c r="AQ353" s="408"/>
      <c r="AR353" s="408"/>
      <c r="AS353" s="408"/>
      <c r="AT353" s="408"/>
      <c r="AU353" s="408"/>
    </row>
    <row r="354" spans="1:47" s="3" customFormat="1" ht="16.5" customHeight="1">
      <c r="A354" s="121" t="s">
        <v>35</v>
      </c>
      <c r="B354" s="124"/>
      <c r="C354" s="125"/>
      <c r="D354" s="22"/>
      <c r="E354" s="16"/>
      <c r="F354" s="27"/>
      <c r="G354" s="27"/>
      <c r="H354" s="36"/>
      <c r="I354" s="408"/>
      <c r="J354" s="408"/>
      <c r="K354" s="408"/>
      <c r="L354" s="408"/>
      <c r="M354" s="408"/>
      <c r="N354" s="408"/>
      <c r="O354" s="408"/>
      <c r="P354" s="408"/>
      <c r="Q354" s="408"/>
      <c r="R354" s="408"/>
      <c r="S354" s="408"/>
      <c r="T354" s="408"/>
      <c r="U354" s="408"/>
      <c r="V354" s="408"/>
      <c r="W354" s="408"/>
      <c r="X354" s="408"/>
      <c r="Y354" s="408"/>
      <c r="Z354" s="408"/>
      <c r="AA354" s="408"/>
      <c r="AB354" s="408"/>
      <c r="AC354" s="408"/>
      <c r="AD354" s="408"/>
      <c r="AE354" s="408"/>
      <c r="AF354" s="408"/>
      <c r="AG354" s="408"/>
      <c r="AH354" s="408"/>
      <c r="AI354" s="408"/>
      <c r="AJ354" s="408"/>
      <c r="AK354" s="408"/>
      <c r="AL354" s="408"/>
      <c r="AM354" s="408"/>
      <c r="AN354" s="408"/>
      <c r="AO354" s="408"/>
      <c r="AP354" s="408"/>
      <c r="AQ354" s="408"/>
      <c r="AR354" s="408"/>
      <c r="AS354" s="408"/>
      <c r="AT354" s="408"/>
      <c r="AU354" s="408"/>
    </row>
    <row r="355" spans="1:47" s="3" customFormat="1" ht="16.5" customHeight="1">
      <c r="A355" s="121"/>
      <c r="B355" s="124"/>
      <c r="C355" s="125"/>
      <c r="D355" s="22"/>
      <c r="E355" s="16"/>
      <c r="F355" s="27"/>
      <c r="G355" s="27"/>
      <c r="H355" s="37"/>
      <c r="I355" s="408"/>
      <c r="J355" s="408"/>
      <c r="K355" s="408"/>
      <c r="L355" s="408"/>
      <c r="M355" s="408"/>
      <c r="N355" s="408"/>
      <c r="O355" s="408"/>
      <c r="P355" s="408"/>
      <c r="Q355" s="408"/>
      <c r="R355" s="408"/>
      <c r="S355" s="408"/>
      <c r="T355" s="408"/>
      <c r="U355" s="408"/>
      <c r="V355" s="408"/>
      <c r="W355" s="408"/>
      <c r="X355" s="408"/>
      <c r="Y355" s="408"/>
      <c r="Z355" s="408"/>
      <c r="AA355" s="408"/>
      <c r="AB355" s="408"/>
      <c r="AC355" s="408"/>
      <c r="AD355" s="408"/>
      <c r="AE355" s="408"/>
      <c r="AF355" s="408"/>
      <c r="AG355" s="408"/>
      <c r="AH355" s="408"/>
      <c r="AI355" s="408"/>
      <c r="AJ355" s="408"/>
      <c r="AK355" s="408"/>
      <c r="AL355" s="408"/>
      <c r="AM355" s="408"/>
      <c r="AN355" s="408"/>
      <c r="AO355" s="408"/>
      <c r="AP355" s="408"/>
      <c r="AQ355" s="408"/>
      <c r="AR355" s="408"/>
      <c r="AS355" s="408"/>
      <c r="AT355" s="408"/>
      <c r="AU355" s="408"/>
    </row>
    <row r="356" spans="1:47" s="3" customFormat="1" ht="16.5" customHeight="1">
      <c r="A356" s="121"/>
      <c r="B356" s="124"/>
      <c r="C356" s="125"/>
      <c r="D356" s="22"/>
      <c r="E356" s="16"/>
      <c r="F356" s="27"/>
      <c r="G356" s="27"/>
      <c r="H356" s="36"/>
      <c r="I356" s="408"/>
      <c r="J356" s="408"/>
      <c r="K356" s="408"/>
      <c r="L356" s="408"/>
      <c r="M356" s="408"/>
      <c r="N356" s="408"/>
      <c r="O356" s="408"/>
      <c r="P356" s="408"/>
      <c r="Q356" s="408"/>
      <c r="R356" s="408"/>
      <c r="S356" s="408"/>
      <c r="T356" s="408"/>
      <c r="U356" s="408"/>
      <c r="V356" s="408"/>
      <c r="W356" s="408"/>
      <c r="X356" s="408"/>
      <c r="Y356" s="408"/>
      <c r="Z356" s="408"/>
      <c r="AA356" s="408"/>
      <c r="AB356" s="408"/>
      <c r="AC356" s="408"/>
      <c r="AD356" s="408"/>
      <c r="AE356" s="408"/>
      <c r="AF356" s="408"/>
      <c r="AG356" s="408"/>
      <c r="AH356" s="408"/>
      <c r="AI356" s="408"/>
      <c r="AJ356" s="408"/>
      <c r="AK356" s="408"/>
      <c r="AL356" s="408"/>
      <c r="AM356" s="408"/>
      <c r="AN356" s="408"/>
      <c r="AO356" s="408"/>
      <c r="AP356" s="408"/>
      <c r="AQ356" s="408"/>
      <c r="AR356" s="408"/>
      <c r="AS356" s="408"/>
      <c r="AT356" s="408"/>
      <c r="AU356" s="408"/>
    </row>
    <row r="357" spans="1:47" s="3" customFormat="1" ht="16.5" customHeight="1">
      <c r="A357" s="121" t="s">
        <v>262</v>
      </c>
      <c r="B357" s="122"/>
      <c r="C357" s="125"/>
      <c r="D357" s="22"/>
      <c r="E357" s="16"/>
      <c r="F357" s="27"/>
      <c r="G357" s="27"/>
      <c r="H357" s="25">
        <f>H359</f>
        <v>799200</v>
      </c>
      <c r="I357" s="408"/>
      <c r="J357" s="408"/>
      <c r="K357" s="408"/>
      <c r="L357" s="408"/>
      <c r="M357" s="408"/>
      <c r="N357" s="408"/>
      <c r="O357" s="408"/>
      <c r="P357" s="408"/>
      <c r="Q357" s="408"/>
      <c r="R357" s="408"/>
      <c r="S357" s="408"/>
      <c r="T357" s="408"/>
      <c r="U357" s="408"/>
      <c r="V357" s="408"/>
      <c r="W357" s="408"/>
      <c r="X357" s="408"/>
      <c r="Y357" s="408"/>
      <c r="Z357" s="408"/>
      <c r="AA357" s="408"/>
      <c r="AB357" s="408"/>
      <c r="AC357" s="408"/>
      <c r="AD357" s="408"/>
      <c r="AE357" s="408"/>
      <c r="AF357" s="408"/>
      <c r="AG357" s="408"/>
      <c r="AH357" s="408"/>
      <c r="AI357" s="408"/>
      <c r="AJ357" s="408"/>
      <c r="AK357" s="408"/>
      <c r="AL357" s="408"/>
      <c r="AM357" s="408"/>
      <c r="AN357" s="408"/>
      <c r="AO357" s="408"/>
      <c r="AP357" s="408"/>
      <c r="AQ357" s="408"/>
      <c r="AR357" s="408"/>
      <c r="AS357" s="408"/>
      <c r="AT357" s="408"/>
      <c r="AU357" s="408"/>
    </row>
    <row r="358" spans="1:47" s="3" customFormat="1" ht="16.5" customHeight="1">
      <c r="A358" s="420" t="s">
        <v>2</v>
      </c>
      <c r="B358" s="122"/>
      <c r="C358" s="125"/>
      <c r="D358" s="22"/>
      <c r="E358" s="16"/>
      <c r="F358" s="27"/>
      <c r="G358" s="27"/>
      <c r="H358" s="36"/>
      <c r="I358" s="408"/>
      <c r="J358" s="408"/>
      <c r="K358" s="408"/>
      <c r="L358" s="408"/>
      <c r="M358" s="408"/>
      <c r="N358" s="408"/>
      <c r="O358" s="408"/>
      <c r="P358" s="408"/>
      <c r="Q358" s="408"/>
      <c r="R358" s="408"/>
      <c r="S358" s="408"/>
      <c r="T358" s="408"/>
      <c r="U358" s="408"/>
      <c r="V358" s="408"/>
      <c r="W358" s="408"/>
      <c r="X358" s="408"/>
      <c r="Y358" s="408"/>
      <c r="Z358" s="408"/>
      <c r="AA358" s="408"/>
      <c r="AB358" s="408"/>
      <c r="AC358" s="408"/>
      <c r="AD358" s="408"/>
      <c r="AE358" s="408"/>
      <c r="AF358" s="408"/>
      <c r="AG358" s="408"/>
      <c r="AH358" s="408"/>
      <c r="AI358" s="408"/>
      <c r="AJ358" s="408"/>
      <c r="AK358" s="408"/>
      <c r="AL358" s="408"/>
      <c r="AM358" s="408"/>
      <c r="AN358" s="408"/>
      <c r="AO358" s="408"/>
      <c r="AP358" s="408"/>
      <c r="AQ358" s="408"/>
      <c r="AR358" s="408"/>
      <c r="AS358" s="408"/>
      <c r="AT358" s="408"/>
      <c r="AU358" s="408"/>
    </row>
    <row r="359" spans="1:47" s="3" customFormat="1" ht="16.5" customHeight="1">
      <c r="A359" s="98" t="s">
        <v>322</v>
      </c>
      <c r="B359" s="124"/>
      <c r="C359" s="125"/>
      <c r="D359" s="22"/>
      <c r="E359" s="16"/>
      <c r="F359" s="27"/>
      <c r="G359" s="27"/>
      <c r="H359" s="36">
        <f>H362+H364+H366</f>
        <v>799200</v>
      </c>
      <c r="I359" s="408"/>
      <c r="J359" s="408"/>
      <c r="K359" s="408"/>
      <c r="L359" s="408"/>
      <c r="M359" s="408"/>
      <c r="N359" s="408"/>
      <c r="O359" s="408"/>
      <c r="P359" s="408"/>
      <c r="Q359" s="408"/>
      <c r="R359" s="408"/>
      <c r="S359" s="408"/>
      <c r="T359" s="408"/>
      <c r="U359" s="408"/>
      <c r="V359" s="408"/>
      <c r="W359" s="408"/>
      <c r="X359" s="408"/>
      <c r="Y359" s="408"/>
      <c r="Z359" s="408"/>
      <c r="AA359" s="408"/>
      <c r="AB359" s="408"/>
      <c r="AC359" s="408"/>
      <c r="AD359" s="408"/>
      <c r="AE359" s="408"/>
      <c r="AF359" s="408"/>
      <c r="AG359" s="408"/>
      <c r="AH359" s="408"/>
      <c r="AI359" s="408"/>
      <c r="AJ359" s="408"/>
      <c r="AK359" s="408"/>
      <c r="AL359" s="408"/>
      <c r="AM359" s="408"/>
      <c r="AN359" s="408"/>
      <c r="AO359" s="408"/>
      <c r="AP359" s="408"/>
      <c r="AQ359" s="408"/>
      <c r="AR359" s="408"/>
      <c r="AS359" s="408"/>
      <c r="AT359" s="408"/>
      <c r="AU359" s="408"/>
    </row>
    <row r="360" spans="1:47" s="3" customFormat="1" ht="16.5" customHeight="1">
      <c r="A360" s="50" t="s">
        <v>2</v>
      </c>
      <c r="B360" s="124"/>
      <c r="C360" s="125"/>
      <c r="D360" s="22"/>
      <c r="E360" s="16"/>
      <c r="F360" s="27"/>
      <c r="G360" s="27"/>
      <c r="H360" s="36"/>
      <c r="I360" s="408"/>
      <c r="J360" s="408"/>
      <c r="K360" s="408"/>
      <c r="L360" s="408"/>
      <c r="M360" s="408"/>
      <c r="N360" s="408"/>
      <c r="O360" s="408"/>
      <c r="P360" s="408"/>
      <c r="Q360" s="408"/>
      <c r="R360" s="408"/>
      <c r="S360" s="408"/>
      <c r="T360" s="408"/>
      <c r="U360" s="408"/>
      <c r="V360" s="408"/>
      <c r="W360" s="408"/>
      <c r="X360" s="408"/>
      <c r="Y360" s="408"/>
      <c r="Z360" s="408"/>
      <c r="AA360" s="408"/>
      <c r="AB360" s="408"/>
      <c r="AC360" s="408"/>
      <c r="AD360" s="408"/>
      <c r="AE360" s="408"/>
      <c r="AF360" s="408"/>
      <c r="AG360" s="408"/>
      <c r="AH360" s="408"/>
      <c r="AI360" s="408"/>
      <c r="AJ360" s="408"/>
      <c r="AK360" s="408"/>
      <c r="AL360" s="408"/>
      <c r="AM360" s="408"/>
      <c r="AN360" s="408"/>
      <c r="AO360" s="408"/>
      <c r="AP360" s="408"/>
      <c r="AQ360" s="408"/>
      <c r="AR360" s="408"/>
      <c r="AS360" s="408"/>
      <c r="AT360" s="408"/>
      <c r="AU360" s="408"/>
    </row>
    <row r="361" spans="1:47" s="3" customFormat="1" ht="16.5" customHeight="1">
      <c r="A361" s="50"/>
      <c r="B361" s="124" t="s">
        <v>323</v>
      </c>
      <c r="C361" s="125"/>
      <c r="D361" s="22"/>
      <c r="E361" s="16"/>
      <c r="F361" s="27"/>
      <c r="G361" s="27"/>
      <c r="H361" s="36"/>
      <c r="I361" s="408"/>
      <c r="J361" s="408"/>
      <c r="K361" s="408"/>
      <c r="L361" s="408"/>
      <c r="M361" s="408"/>
      <c r="N361" s="408"/>
      <c r="O361" s="408"/>
      <c r="P361" s="408"/>
      <c r="Q361" s="408"/>
      <c r="R361" s="408"/>
      <c r="S361" s="408"/>
      <c r="T361" s="408"/>
      <c r="U361" s="408"/>
      <c r="V361" s="408"/>
      <c r="W361" s="408"/>
      <c r="X361" s="408"/>
      <c r="Y361" s="408"/>
      <c r="Z361" s="408"/>
      <c r="AA361" s="408"/>
      <c r="AB361" s="408"/>
      <c r="AC361" s="408"/>
      <c r="AD361" s="408"/>
      <c r="AE361" s="408"/>
      <c r="AF361" s="408"/>
      <c r="AG361" s="408"/>
      <c r="AH361" s="408"/>
      <c r="AI361" s="408"/>
      <c r="AJ361" s="408"/>
      <c r="AK361" s="408"/>
      <c r="AL361" s="408"/>
      <c r="AM361" s="408"/>
      <c r="AN361" s="408"/>
      <c r="AO361" s="408"/>
      <c r="AP361" s="408"/>
      <c r="AQ361" s="408"/>
      <c r="AR361" s="408"/>
      <c r="AS361" s="408"/>
      <c r="AT361" s="408"/>
      <c r="AU361" s="408"/>
    </row>
    <row r="362" spans="1:47" s="3" customFormat="1" ht="16.5" customHeight="1">
      <c r="A362" s="50"/>
      <c r="B362" s="124" t="s">
        <v>324</v>
      </c>
      <c r="C362" s="125"/>
      <c r="D362" s="22"/>
      <c r="E362" s="16"/>
      <c r="F362" s="27"/>
      <c r="G362" s="27"/>
      <c r="H362" s="36">
        <v>190200</v>
      </c>
      <c r="I362" s="408"/>
      <c r="J362" s="408"/>
      <c r="K362" s="408"/>
      <c r="L362" s="408"/>
      <c r="M362" s="408"/>
      <c r="N362" s="408"/>
      <c r="O362" s="408"/>
      <c r="P362" s="408"/>
      <c r="Q362" s="408"/>
      <c r="R362" s="408"/>
      <c r="S362" s="408"/>
      <c r="T362" s="408"/>
      <c r="U362" s="408"/>
      <c r="V362" s="408"/>
      <c r="W362" s="408"/>
      <c r="X362" s="408"/>
      <c r="Y362" s="408"/>
      <c r="Z362" s="408"/>
      <c r="AA362" s="408"/>
      <c r="AB362" s="408"/>
      <c r="AC362" s="408"/>
      <c r="AD362" s="408"/>
      <c r="AE362" s="408"/>
      <c r="AF362" s="408"/>
      <c r="AG362" s="408"/>
      <c r="AH362" s="408"/>
      <c r="AI362" s="408"/>
      <c r="AJ362" s="408"/>
      <c r="AK362" s="408"/>
      <c r="AL362" s="408"/>
      <c r="AM362" s="408"/>
      <c r="AN362" s="408"/>
      <c r="AO362" s="408"/>
      <c r="AP362" s="408"/>
      <c r="AQ362" s="408"/>
      <c r="AR362" s="408"/>
      <c r="AS362" s="408"/>
      <c r="AT362" s="408"/>
      <c r="AU362" s="408"/>
    </row>
    <row r="363" spans="1:47" s="3" customFormat="1" ht="16.5" customHeight="1">
      <c r="A363" s="50"/>
      <c r="B363" s="124"/>
      <c r="C363" s="125"/>
      <c r="D363" s="22"/>
      <c r="E363" s="16"/>
      <c r="F363" s="27"/>
      <c r="G363" s="27"/>
      <c r="H363" s="36"/>
      <c r="I363" s="408"/>
      <c r="J363" s="408"/>
      <c r="K363" s="408"/>
      <c r="L363" s="408"/>
      <c r="M363" s="408"/>
      <c r="N363" s="408"/>
      <c r="O363" s="408"/>
      <c r="P363" s="408"/>
      <c r="Q363" s="408"/>
      <c r="R363" s="408"/>
      <c r="S363" s="408"/>
      <c r="T363" s="408"/>
      <c r="U363" s="408"/>
      <c r="V363" s="408"/>
      <c r="W363" s="408"/>
      <c r="X363" s="408"/>
      <c r="Y363" s="408"/>
      <c r="Z363" s="408"/>
      <c r="AA363" s="408"/>
      <c r="AB363" s="408"/>
      <c r="AC363" s="408"/>
      <c r="AD363" s="408"/>
      <c r="AE363" s="408"/>
      <c r="AF363" s="408"/>
      <c r="AG363" s="408"/>
      <c r="AH363" s="408"/>
      <c r="AI363" s="408"/>
      <c r="AJ363" s="408"/>
      <c r="AK363" s="408"/>
      <c r="AL363" s="408"/>
      <c r="AM363" s="408"/>
      <c r="AN363" s="408"/>
      <c r="AO363" s="408"/>
      <c r="AP363" s="408"/>
      <c r="AQ363" s="408"/>
      <c r="AR363" s="408"/>
      <c r="AS363" s="408"/>
      <c r="AT363" s="408"/>
      <c r="AU363" s="408"/>
    </row>
    <row r="364" spans="1:47" s="3" customFormat="1" ht="16.5" customHeight="1">
      <c r="A364" s="121"/>
      <c r="B364" s="118" t="s">
        <v>228</v>
      </c>
      <c r="C364" s="125"/>
      <c r="D364" s="22"/>
      <c r="E364" s="16"/>
      <c r="F364" s="27"/>
      <c r="G364" s="27"/>
      <c r="H364" s="36">
        <v>200000</v>
      </c>
      <c r="I364" s="408"/>
      <c r="J364" s="408"/>
      <c r="K364" s="408"/>
      <c r="L364" s="408"/>
      <c r="M364" s="408"/>
      <c r="N364" s="408"/>
      <c r="O364" s="408"/>
      <c r="P364" s="408"/>
      <c r="Q364" s="408"/>
      <c r="R364" s="408"/>
      <c r="S364" s="408"/>
      <c r="T364" s="408"/>
      <c r="U364" s="408"/>
      <c r="V364" s="408"/>
      <c r="W364" s="408"/>
      <c r="X364" s="408"/>
      <c r="Y364" s="408"/>
      <c r="Z364" s="408"/>
      <c r="AA364" s="408"/>
      <c r="AB364" s="408"/>
      <c r="AC364" s="408"/>
      <c r="AD364" s="408"/>
      <c r="AE364" s="408"/>
      <c r="AF364" s="408"/>
      <c r="AG364" s="408"/>
      <c r="AH364" s="408"/>
      <c r="AI364" s="408"/>
      <c r="AJ364" s="408"/>
      <c r="AK364" s="408"/>
      <c r="AL364" s="408"/>
      <c r="AM364" s="408"/>
      <c r="AN364" s="408"/>
      <c r="AO364" s="408"/>
      <c r="AP364" s="408"/>
      <c r="AQ364" s="408"/>
      <c r="AR364" s="408"/>
      <c r="AS364" s="408"/>
      <c r="AT364" s="408"/>
      <c r="AU364" s="408"/>
    </row>
    <row r="365" spans="1:47" s="3" customFormat="1" ht="16.5" customHeight="1">
      <c r="A365" s="121"/>
      <c r="B365" s="118"/>
      <c r="C365" s="125"/>
      <c r="D365" s="22"/>
      <c r="E365" s="16"/>
      <c r="F365" s="27"/>
      <c r="G365" s="27"/>
      <c r="H365" s="36"/>
      <c r="I365" s="408"/>
      <c r="J365" s="408"/>
      <c r="K365" s="408"/>
      <c r="L365" s="40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  <c r="AA365" s="408"/>
      <c r="AB365" s="408"/>
      <c r="AC365" s="408"/>
      <c r="AD365" s="408"/>
      <c r="AE365" s="408"/>
      <c r="AF365" s="408"/>
      <c r="AG365" s="408"/>
      <c r="AH365" s="408"/>
      <c r="AI365" s="408"/>
      <c r="AJ365" s="408"/>
      <c r="AK365" s="408"/>
      <c r="AL365" s="408"/>
      <c r="AM365" s="408"/>
      <c r="AN365" s="408"/>
      <c r="AO365" s="408"/>
      <c r="AP365" s="408"/>
      <c r="AQ365" s="408"/>
      <c r="AR365" s="408"/>
      <c r="AS365" s="408"/>
      <c r="AT365" s="408"/>
      <c r="AU365" s="408"/>
    </row>
    <row r="366" spans="1:47" s="3" customFormat="1" ht="16.5" customHeight="1">
      <c r="A366" s="121"/>
      <c r="B366" s="118" t="s">
        <v>61</v>
      </c>
      <c r="C366" s="125"/>
      <c r="D366" s="22"/>
      <c r="E366" s="16"/>
      <c r="F366" s="27"/>
      <c r="G366" s="27"/>
      <c r="H366" s="36">
        <v>409000</v>
      </c>
      <c r="I366" s="408"/>
      <c r="J366" s="408"/>
      <c r="K366" s="408"/>
      <c r="L366" s="408"/>
      <c r="M366" s="408"/>
      <c r="N366" s="408"/>
      <c r="O366" s="408"/>
      <c r="P366" s="408"/>
      <c r="Q366" s="408"/>
      <c r="R366" s="408"/>
      <c r="S366" s="408"/>
      <c r="T366" s="408"/>
      <c r="U366" s="408"/>
      <c r="V366" s="408"/>
      <c r="W366" s="408"/>
      <c r="X366" s="408"/>
      <c r="Y366" s="408"/>
      <c r="Z366" s="408"/>
      <c r="AA366" s="408"/>
      <c r="AB366" s="408"/>
      <c r="AC366" s="408"/>
      <c r="AD366" s="408"/>
      <c r="AE366" s="408"/>
      <c r="AF366" s="408"/>
      <c r="AG366" s="408"/>
      <c r="AH366" s="408"/>
      <c r="AI366" s="408"/>
      <c r="AJ366" s="408"/>
      <c r="AK366" s="408"/>
      <c r="AL366" s="408"/>
      <c r="AM366" s="408"/>
      <c r="AN366" s="408"/>
      <c r="AO366" s="408"/>
      <c r="AP366" s="408"/>
      <c r="AQ366" s="408"/>
      <c r="AR366" s="408"/>
      <c r="AS366" s="408"/>
      <c r="AT366" s="408"/>
      <c r="AU366" s="408"/>
    </row>
    <row r="367" spans="1:47" s="3" customFormat="1" ht="16.5" customHeight="1">
      <c r="A367" s="121"/>
      <c r="B367" s="118"/>
      <c r="C367" s="125"/>
      <c r="D367" s="22"/>
      <c r="E367" s="16"/>
      <c r="F367" s="27"/>
      <c r="G367" s="27"/>
      <c r="H367" s="36"/>
      <c r="I367" s="408"/>
      <c r="J367" s="408"/>
      <c r="K367" s="408"/>
      <c r="L367" s="408"/>
      <c r="M367" s="408"/>
      <c r="N367" s="408"/>
      <c r="O367" s="408"/>
      <c r="P367" s="408"/>
      <c r="Q367" s="408"/>
      <c r="R367" s="408"/>
      <c r="S367" s="408"/>
      <c r="T367" s="408"/>
      <c r="U367" s="408"/>
      <c r="V367" s="408"/>
      <c r="W367" s="408"/>
      <c r="X367" s="408"/>
      <c r="Y367" s="408"/>
      <c r="Z367" s="408"/>
      <c r="AA367" s="408"/>
      <c r="AB367" s="408"/>
      <c r="AC367" s="408"/>
      <c r="AD367" s="408"/>
      <c r="AE367" s="408"/>
      <c r="AF367" s="408"/>
      <c r="AG367" s="408"/>
      <c r="AH367" s="408"/>
      <c r="AI367" s="408"/>
      <c r="AJ367" s="408"/>
      <c r="AK367" s="408"/>
      <c r="AL367" s="408"/>
      <c r="AM367" s="408"/>
      <c r="AN367" s="408"/>
      <c r="AO367" s="408"/>
      <c r="AP367" s="408"/>
      <c r="AQ367" s="408"/>
      <c r="AR367" s="408"/>
      <c r="AS367" s="408"/>
      <c r="AT367" s="408"/>
      <c r="AU367" s="408"/>
    </row>
    <row r="368" spans="1:47" s="3" customFormat="1" ht="16.5" customHeight="1">
      <c r="A368" s="123" t="s">
        <v>15</v>
      </c>
      <c r="B368" s="124"/>
      <c r="C368" s="125"/>
      <c r="D368" s="22"/>
      <c r="E368" s="16"/>
      <c r="F368" s="27"/>
      <c r="G368" s="27"/>
      <c r="H368" s="37">
        <f>H370+H374</f>
        <v>400600</v>
      </c>
      <c r="I368" s="408"/>
      <c r="J368" s="408"/>
      <c r="K368" s="408"/>
      <c r="L368" s="408"/>
      <c r="M368" s="408"/>
      <c r="N368" s="408"/>
      <c r="O368" s="408"/>
      <c r="P368" s="408"/>
      <c r="Q368" s="408"/>
      <c r="R368" s="408"/>
      <c r="S368" s="408"/>
      <c r="T368" s="408"/>
      <c r="U368" s="408"/>
      <c r="V368" s="408"/>
      <c r="W368" s="408"/>
      <c r="X368" s="408"/>
      <c r="Y368" s="408"/>
      <c r="Z368" s="408"/>
      <c r="AA368" s="408"/>
      <c r="AB368" s="408"/>
      <c r="AC368" s="408"/>
      <c r="AD368" s="408"/>
      <c r="AE368" s="408"/>
      <c r="AF368" s="408"/>
      <c r="AG368" s="408"/>
      <c r="AH368" s="408"/>
      <c r="AI368" s="408"/>
      <c r="AJ368" s="408"/>
      <c r="AK368" s="408"/>
      <c r="AL368" s="408"/>
      <c r="AM368" s="408"/>
      <c r="AN368" s="408"/>
      <c r="AO368" s="408"/>
      <c r="AP368" s="408"/>
      <c r="AQ368" s="408"/>
      <c r="AR368" s="408"/>
      <c r="AS368" s="408"/>
      <c r="AT368" s="408"/>
      <c r="AU368" s="408"/>
    </row>
    <row r="369" spans="1:47" s="3" customFormat="1" ht="16.5" customHeight="1">
      <c r="A369" s="50" t="s">
        <v>2</v>
      </c>
      <c r="B369" s="124"/>
      <c r="C369" s="125"/>
      <c r="D369" s="22"/>
      <c r="E369" s="16"/>
      <c r="F369" s="27"/>
      <c r="G369" s="27"/>
      <c r="H369" s="36"/>
      <c r="I369" s="408"/>
      <c r="J369" s="408"/>
      <c r="K369" s="408"/>
      <c r="L369" s="408"/>
      <c r="M369" s="408"/>
      <c r="N369" s="408"/>
      <c r="O369" s="408"/>
      <c r="P369" s="408"/>
      <c r="Q369" s="408"/>
      <c r="R369" s="408"/>
      <c r="S369" s="408"/>
      <c r="T369" s="408"/>
      <c r="U369" s="408"/>
      <c r="V369" s="408"/>
      <c r="W369" s="408"/>
      <c r="X369" s="408"/>
      <c r="Y369" s="408"/>
      <c r="Z369" s="408"/>
      <c r="AA369" s="408"/>
      <c r="AB369" s="408"/>
      <c r="AC369" s="408"/>
      <c r="AD369" s="408"/>
      <c r="AE369" s="408"/>
      <c r="AF369" s="408"/>
      <c r="AG369" s="408"/>
      <c r="AH369" s="408"/>
      <c r="AI369" s="408"/>
      <c r="AJ369" s="408"/>
      <c r="AK369" s="408"/>
      <c r="AL369" s="408"/>
      <c r="AM369" s="408"/>
      <c r="AN369" s="408"/>
      <c r="AO369" s="408"/>
      <c r="AP369" s="408"/>
      <c r="AQ369" s="408"/>
      <c r="AR369" s="408"/>
      <c r="AS369" s="408"/>
      <c r="AT369" s="408"/>
      <c r="AU369" s="408"/>
    </row>
    <row r="370" spans="1:47" s="3" customFormat="1" ht="16.5" customHeight="1">
      <c r="A370" s="98" t="s">
        <v>295</v>
      </c>
      <c r="B370" s="124"/>
      <c r="C370" s="125"/>
      <c r="D370" s="22"/>
      <c r="E370" s="16"/>
      <c r="F370" s="27"/>
      <c r="G370" s="27"/>
      <c r="H370" s="25">
        <f>H372</f>
        <v>390200</v>
      </c>
      <c r="I370" s="408"/>
      <c r="J370" s="408"/>
      <c r="K370" s="408"/>
      <c r="L370" s="408"/>
      <c r="M370" s="408"/>
      <c r="N370" s="408"/>
      <c r="O370" s="408"/>
      <c r="P370" s="408"/>
      <c r="Q370" s="408"/>
      <c r="R370" s="408"/>
      <c r="S370" s="408"/>
      <c r="T370" s="408"/>
      <c r="U370" s="408"/>
      <c r="V370" s="408"/>
      <c r="W370" s="408"/>
      <c r="X370" s="408"/>
      <c r="Y370" s="408"/>
      <c r="Z370" s="408"/>
      <c r="AA370" s="408"/>
      <c r="AB370" s="408"/>
      <c r="AC370" s="408"/>
      <c r="AD370" s="408"/>
      <c r="AE370" s="408"/>
      <c r="AF370" s="408"/>
      <c r="AG370" s="408"/>
      <c r="AH370" s="408"/>
      <c r="AI370" s="408"/>
      <c r="AJ370" s="408"/>
      <c r="AK370" s="408"/>
      <c r="AL370" s="408"/>
      <c r="AM370" s="408"/>
      <c r="AN370" s="408"/>
      <c r="AO370" s="408"/>
      <c r="AP370" s="408"/>
      <c r="AQ370" s="408"/>
      <c r="AR370" s="408"/>
      <c r="AS370" s="408"/>
      <c r="AT370" s="408"/>
      <c r="AU370" s="408"/>
    </row>
    <row r="371" spans="1:47" s="3" customFormat="1" ht="16.5" customHeight="1">
      <c r="A371" s="50" t="s">
        <v>2</v>
      </c>
      <c r="B371" s="124"/>
      <c r="C371" s="125"/>
      <c r="D371" s="22"/>
      <c r="E371" s="16"/>
      <c r="F371" s="27"/>
      <c r="G371" s="27"/>
      <c r="H371" s="36"/>
      <c r="I371" s="408"/>
      <c r="J371" s="408"/>
      <c r="K371" s="408"/>
      <c r="L371" s="408"/>
      <c r="M371" s="408"/>
      <c r="N371" s="408"/>
      <c r="O371" s="408"/>
      <c r="P371" s="408"/>
      <c r="Q371" s="408"/>
      <c r="R371" s="408"/>
      <c r="S371" s="408"/>
      <c r="T371" s="408"/>
      <c r="U371" s="408"/>
      <c r="V371" s="408"/>
      <c r="W371" s="408"/>
      <c r="X371" s="408"/>
      <c r="Y371" s="408"/>
      <c r="Z371" s="408"/>
      <c r="AA371" s="408"/>
      <c r="AB371" s="408"/>
      <c r="AC371" s="408"/>
      <c r="AD371" s="408"/>
      <c r="AE371" s="408"/>
      <c r="AF371" s="408"/>
      <c r="AG371" s="408"/>
      <c r="AH371" s="408"/>
      <c r="AI371" s="408"/>
      <c r="AJ371" s="408"/>
      <c r="AK371" s="408"/>
      <c r="AL371" s="408"/>
      <c r="AM371" s="408"/>
      <c r="AN371" s="408"/>
      <c r="AO371" s="408"/>
      <c r="AP371" s="408"/>
      <c r="AQ371" s="408"/>
      <c r="AR371" s="408"/>
      <c r="AS371" s="408"/>
      <c r="AT371" s="408"/>
      <c r="AU371" s="408"/>
    </row>
    <row r="372" spans="1:47" s="3" customFormat="1" ht="16.5" customHeight="1">
      <c r="A372" s="50"/>
      <c r="B372" s="124" t="s">
        <v>14</v>
      </c>
      <c r="C372" s="125"/>
      <c r="D372" s="22"/>
      <c r="E372" s="16"/>
      <c r="F372" s="27"/>
      <c r="G372" s="27"/>
      <c r="H372" s="36">
        <f>200000+190200</f>
        <v>390200</v>
      </c>
      <c r="I372" s="408"/>
      <c r="J372" s="408"/>
      <c r="K372" s="408"/>
      <c r="L372" s="408"/>
      <c r="M372" s="408"/>
      <c r="N372" s="408"/>
      <c r="O372" s="408"/>
      <c r="P372" s="408"/>
      <c r="Q372" s="408"/>
      <c r="R372" s="408"/>
      <c r="S372" s="408"/>
      <c r="T372" s="408"/>
      <c r="U372" s="408"/>
      <c r="V372" s="408"/>
      <c r="W372" s="408"/>
      <c r="X372" s="408"/>
      <c r="Y372" s="408"/>
      <c r="Z372" s="408"/>
      <c r="AA372" s="408"/>
      <c r="AB372" s="408"/>
      <c r="AC372" s="408"/>
      <c r="AD372" s="408"/>
      <c r="AE372" s="408"/>
      <c r="AF372" s="408"/>
      <c r="AG372" s="408"/>
      <c r="AH372" s="408"/>
      <c r="AI372" s="408"/>
      <c r="AJ372" s="408"/>
      <c r="AK372" s="408"/>
      <c r="AL372" s="408"/>
      <c r="AM372" s="408"/>
      <c r="AN372" s="408"/>
      <c r="AO372" s="408"/>
      <c r="AP372" s="408"/>
      <c r="AQ372" s="408"/>
      <c r="AR372" s="408"/>
      <c r="AS372" s="408"/>
      <c r="AT372" s="408"/>
      <c r="AU372" s="408"/>
    </row>
    <row r="373" spans="1:47" s="3" customFormat="1" ht="16.5" customHeight="1">
      <c r="A373" s="50"/>
      <c r="B373" s="124"/>
      <c r="C373" s="125"/>
      <c r="D373" s="22"/>
      <c r="E373" s="16"/>
      <c r="F373" s="27"/>
      <c r="G373" s="27"/>
      <c r="H373" s="36"/>
      <c r="I373" s="408"/>
      <c r="J373" s="408"/>
      <c r="K373" s="408"/>
      <c r="L373" s="40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  <c r="AA373" s="408"/>
      <c r="AB373" s="408"/>
      <c r="AC373" s="408"/>
      <c r="AD373" s="408"/>
      <c r="AE373" s="408"/>
      <c r="AF373" s="408"/>
      <c r="AG373" s="408"/>
      <c r="AH373" s="408"/>
      <c r="AI373" s="408"/>
      <c r="AJ373" s="408"/>
      <c r="AK373" s="408"/>
      <c r="AL373" s="408"/>
      <c r="AM373" s="408"/>
      <c r="AN373" s="408"/>
      <c r="AO373" s="408"/>
      <c r="AP373" s="408"/>
      <c r="AQ373" s="408"/>
      <c r="AR373" s="408"/>
      <c r="AS373" s="408"/>
      <c r="AT373" s="408"/>
      <c r="AU373" s="408"/>
    </row>
    <row r="374" spans="1:47" s="3" customFormat="1" ht="16.5" customHeight="1">
      <c r="A374" s="98" t="s">
        <v>337</v>
      </c>
      <c r="B374" s="124"/>
      <c r="C374" s="125"/>
      <c r="D374" s="22"/>
      <c r="E374" s="16"/>
      <c r="F374" s="27"/>
      <c r="G374" s="27"/>
      <c r="H374" s="25">
        <f>H376</f>
        <v>10400</v>
      </c>
      <c r="I374" s="408"/>
      <c r="J374" s="408"/>
      <c r="K374" s="408"/>
      <c r="L374" s="408"/>
      <c r="M374" s="408"/>
      <c r="N374" s="408"/>
      <c r="O374" s="408"/>
      <c r="P374" s="408"/>
      <c r="Q374" s="408"/>
      <c r="R374" s="408"/>
      <c r="S374" s="408"/>
      <c r="T374" s="408"/>
      <c r="U374" s="408"/>
      <c r="V374" s="408"/>
      <c r="W374" s="408"/>
      <c r="X374" s="408"/>
      <c r="Y374" s="408"/>
      <c r="Z374" s="408"/>
      <c r="AA374" s="408"/>
      <c r="AB374" s="408"/>
      <c r="AC374" s="408"/>
      <c r="AD374" s="408"/>
      <c r="AE374" s="408"/>
      <c r="AF374" s="408"/>
      <c r="AG374" s="408"/>
      <c r="AH374" s="408"/>
      <c r="AI374" s="408"/>
      <c r="AJ374" s="408"/>
      <c r="AK374" s="408"/>
      <c r="AL374" s="408"/>
      <c r="AM374" s="408"/>
      <c r="AN374" s="408"/>
      <c r="AO374" s="408"/>
      <c r="AP374" s="408"/>
      <c r="AQ374" s="408"/>
      <c r="AR374" s="408"/>
      <c r="AS374" s="408"/>
      <c r="AT374" s="408"/>
      <c r="AU374" s="408"/>
    </row>
    <row r="375" spans="1:47" s="3" customFormat="1" ht="16.5" customHeight="1">
      <c r="A375" s="50" t="s">
        <v>2</v>
      </c>
      <c r="B375" s="124"/>
      <c r="C375" s="125"/>
      <c r="D375" s="22"/>
      <c r="E375" s="16"/>
      <c r="F375" s="27"/>
      <c r="G375" s="27"/>
      <c r="H375" s="36"/>
      <c r="I375" s="408"/>
      <c r="J375" s="408"/>
      <c r="K375" s="408"/>
      <c r="L375" s="408"/>
      <c r="M375" s="408"/>
      <c r="N375" s="408"/>
      <c r="O375" s="408"/>
      <c r="P375" s="408"/>
      <c r="Q375" s="408"/>
      <c r="R375" s="408"/>
      <c r="S375" s="408"/>
      <c r="T375" s="408"/>
      <c r="U375" s="408"/>
      <c r="V375" s="408"/>
      <c r="W375" s="408"/>
      <c r="X375" s="408"/>
      <c r="Y375" s="408"/>
      <c r="Z375" s="408"/>
      <c r="AA375" s="408"/>
      <c r="AB375" s="408"/>
      <c r="AC375" s="408"/>
      <c r="AD375" s="408"/>
      <c r="AE375" s="408"/>
      <c r="AF375" s="408"/>
      <c r="AG375" s="408"/>
      <c r="AH375" s="408"/>
      <c r="AI375" s="408"/>
      <c r="AJ375" s="408"/>
      <c r="AK375" s="408"/>
      <c r="AL375" s="408"/>
      <c r="AM375" s="408"/>
      <c r="AN375" s="408"/>
      <c r="AO375" s="408"/>
      <c r="AP375" s="408"/>
      <c r="AQ375" s="408"/>
      <c r="AR375" s="408"/>
      <c r="AS375" s="408"/>
      <c r="AT375" s="408"/>
      <c r="AU375" s="408"/>
    </row>
    <row r="376" spans="1:47" s="3" customFormat="1" ht="16.5" customHeight="1">
      <c r="A376" s="50"/>
      <c r="B376" s="124" t="s">
        <v>338</v>
      </c>
      <c r="C376" s="125"/>
      <c r="D376" s="22"/>
      <c r="E376" s="16"/>
      <c r="F376" s="27"/>
      <c r="G376" s="27"/>
      <c r="H376" s="36">
        <v>10400</v>
      </c>
      <c r="I376" s="408"/>
      <c r="J376" s="408"/>
      <c r="K376" s="408"/>
      <c r="L376" s="408"/>
      <c r="M376" s="408"/>
      <c r="N376" s="408"/>
      <c r="O376" s="408"/>
      <c r="P376" s="408"/>
      <c r="Q376" s="408"/>
      <c r="R376" s="408"/>
      <c r="S376" s="408"/>
      <c r="T376" s="408"/>
      <c r="U376" s="408"/>
      <c r="V376" s="408"/>
      <c r="W376" s="408"/>
      <c r="X376" s="408"/>
      <c r="Y376" s="408"/>
      <c r="Z376" s="408"/>
      <c r="AA376" s="408"/>
      <c r="AB376" s="408"/>
      <c r="AC376" s="408"/>
      <c r="AD376" s="408"/>
      <c r="AE376" s="408"/>
      <c r="AF376" s="408"/>
      <c r="AG376" s="408"/>
      <c r="AH376" s="408"/>
      <c r="AI376" s="408"/>
      <c r="AJ376" s="408"/>
      <c r="AK376" s="408"/>
      <c r="AL376" s="408"/>
      <c r="AM376" s="408"/>
      <c r="AN376" s="408"/>
      <c r="AO376" s="408"/>
      <c r="AP376" s="408"/>
      <c r="AQ376" s="408"/>
      <c r="AR376" s="408"/>
      <c r="AS376" s="408"/>
      <c r="AT376" s="408"/>
      <c r="AU376" s="408"/>
    </row>
    <row r="377" spans="1:47" s="3" customFormat="1" ht="16.5" customHeight="1">
      <c r="A377" s="50"/>
      <c r="B377" s="124"/>
      <c r="C377" s="125"/>
      <c r="D377" s="22"/>
      <c r="E377" s="16"/>
      <c r="F377" s="27"/>
      <c r="G377" s="27"/>
      <c r="H377" s="36"/>
      <c r="I377" s="408"/>
      <c r="J377" s="408"/>
      <c r="K377" s="408"/>
      <c r="L377" s="408"/>
      <c r="M377" s="408"/>
      <c r="N377" s="408"/>
      <c r="O377" s="408"/>
      <c r="P377" s="408"/>
      <c r="Q377" s="408"/>
      <c r="R377" s="408"/>
      <c r="S377" s="408"/>
      <c r="T377" s="408"/>
      <c r="U377" s="408"/>
      <c r="V377" s="408"/>
      <c r="W377" s="408"/>
      <c r="X377" s="408"/>
      <c r="Y377" s="408"/>
      <c r="Z377" s="408"/>
      <c r="AA377" s="408"/>
      <c r="AB377" s="408"/>
      <c r="AC377" s="408"/>
      <c r="AD377" s="408"/>
      <c r="AE377" s="408"/>
      <c r="AF377" s="408"/>
      <c r="AG377" s="408"/>
      <c r="AH377" s="408"/>
      <c r="AI377" s="408"/>
      <c r="AJ377" s="408"/>
      <c r="AK377" s="408"/>
      <c r="AL377" s="408"/>
      <c r="AM377" s="408"/>
      <c r="AN377" s="408"/>
      <c r="AO377" s="408"/>
      <c r="AP377" s="408"/>
      <c r="AQ377" s="408"/>
      <c r="AR377" s="408"/>
      <c r="AS377" s="408"/>
      <c r="AT377" s="408"/>
      <c r="AU377" s="408"/>
    </row>
    <row r="378" spans="1:47" s="3" customFormat="1" ht="17.25" customHeight="1">
      <c r="A378" s="50"/>
      <c r="B378" s="124"/>
      <c r="C378" s="120"/>
      <c r="D378" s="22"/>
      <c r="E378" s="16"/>
      <c r="F378" s="35"/>
      <c r="G378" s="35"/>
      <c r="H378" s="36"/>
      <c r="I378" s="408"/>
      <c r="J378" s="408"/>
      <c r="K378" s="408"/>
      <c r="L378" s="40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  <c r="AA378" s="408"/>
      <c r="AB378" s="408"/>
      <c r="AC378" s="408"/>
      <c r="AD378" s="408"/>
      <c r="AE378" s="408"/>
      <c r="AF378" s="408"/>
      <c r="AG378" s="408"/>
      <c r="AH378" s="408"/>
      <c r="AI378" s="408"/>
      <c r="AJ378" s="408"/>
      <c r="AK378" s="408"/>
      <c r="AL378" s="408"/>
      <c r="AM378" s="408"/>
      <c r="AN378" s="408"/>
      <c r="AO378" s="408"/>
      <c r="AP378" s="408"/>
      <c r="AQ378" s="408"/>
      <c r="AR378" s="408"/>
      <c r="AS378" s="408"/>
      <c r="AT378" s="408"/>
      <c r="AU378" s="408"/>
    </row>
    <row r="379" spans="1:47" s="3" customFormat="1" ht="17.25" customHeight="1">
      <c r="A379" s="126" t="s">
        <v>36</v>
      </c>
      <c r="B379" s="126"/>
      <c r="C379" s="120"/>
      <c r="D379" s="22"/>
      <c r="E379" s="16"/>
      <c r="F379" s="35"/>
      <c r="G379" s="35"/>
      <c r="H379" s="36"/>
      <c r="I379" s="408"/>
      <c r="J379" s="408"/>
      <c r="K379" s="408"/>
      <c r="L379" s="408"/>
      <c r="M379" s="408"/>
      <c r="N379" s="408"/>
      <c r="O379" s="408"/>
      <c r="P379" s="408"/>
      <c r="Q379" s="408"/>
      <c r="R379" s="408"/>
      <c r="S379" s="408"/>
      <c r="T379" s="408"/>
      <c r="U379" s="408"/>
      <c r="V379" s="408"/>
      <c r="W379" s="408"/>
      <c r="X379" s="408"/>
      <c r="Y379" s="408"/>
      <c r="Z379" s="408"/>
      <c r="AA379" s="408"/>
      <c r="AB379" s="408"/>
      <c r="AC379" s="408"/>
      <c r="AD379" s="408"/>
      <c r="AE379" s="408"/>
      <c r="AF379" s="408"/>
      <c r="AG379" s="408"/>
      <c r="AH379" s="408"/>
      <c r="AI379" s="408"/>
      <c r="AJ379" s="408"/>
      <c r="AK379" s="408"/>
      <c r="AL379" s="408"/>
      <c r="AM379" s="408"/>
      <c r="AN379" s="408"/>
      <c r="AO379" s="408"/>
      <c r="AP379" s="408"/>
      <c r="AQ379" s="408"/>
      <c r="AR379" s="408"/>
      <c r="AS379" s="408"/>
      <c r="AT379" s="408"/>
      <c r="AU379" s="408"/>
    </row>
    <row r="380" spans="1:47" s="3" customFormat="1" ht="17.25" customHeight="1">
      <c r="A380" s="126" t="s">
        <v>37</v>
      </c>
      <c r="B380" s="126"/>
      <c r="C380" s="120"/>
      <c r="D380" s="22"/>
      <c r="E380" s="16"/>
      <c r="F380" s="35"/>
      <c r="G380" s="35"/>
      <c r="H380" s="36"/>
      <c r="I380" s="408"/>
      <c r="J380" s="408"/>
      <c r="K380" s="408"/>
      <c r="L380" s="408"/>
      <c r="M380" s="408"/>
      <c r="N380" s="408"/>
      <c r="O380" s="408"/>
      <c r="P380" s="408"/>
      <c r="Q380" s="408"/>
      <c r="R380" s="408"/>
      <c r="S380" s="408"/>
      <c r="T380" s="408"/>
      <c r="U380" s="408"/>
      <c r="V380" s="408"/>
      <c r="W380" s="408"/>
      <c r="X380" s="408"/>
      <c r="Y380" s="408"/>
      <c r="Z380" s="408"/>
      <c r="AA380" s="408"/>
      <c r="AB380" s="408"/>
      <c r="AC380" s="408"/>
      <c r="AD380" s="408"/>
      <c r="AE380" s="408"/>
      <c r="AF380" s="408"/>
      <c r="AG380" s="408"/>
      <c r="AH380" s="408"/>
      <c r="AI380" s="408"/>
      <c r="AJ380" s="408"/>
      <c r="AK380" s="408"/>
      <c r="AL380" s="408"/>
      <c r="AM380" s="408"/>
      <c r="AN380" s="408"/>
      <c r="AO380" s="408"/>
      <c r="AP380" s="408"/>
      <c r="AQ380" s="408"/>
      <c r="AR380" s="408"/>
      <c r="AS380" s="408"/>
      <c r="AT380" s="408"/>
      <c r="AU380" s="408"/>
    </row>
    <row r="381" spans="1:47" s="3" customFormat="1" ht="17.25" customHeight="1">
      <c r="A381" s="126"/>
      <c r="B381" s="126"/>
      <c r="C381" s="120"/>
      <c r="D381" s="22"/>
      <c r="E381" s="16"/>
      <c r="F381" s="35"/>
      <c r="G381" s="35"/>
      <c r="H381" s="36"/>
      <c r="I381" s="408"/>
      <c r="J381" s="408"/>
      <c r="K381" s="408"/>
      <c r="L381" s="40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  <c r="AA381" s="408"/>
      <c r="AB381" s="408"/>
      <c r="AC381" s="408"/>
      <c r="AD381" s="408"/>
      <c r="AE381" s="408"/>
      <c r="AF381" s="408"/>
      <c r="AG381" s="408"/>
      <c r="AH381" s="408"/>
      <c r="AI381" s="408"/>
      <c r="AJ381" s="408"/>
      <c r="AK381" s="408"/>
      <c r="AL381" s="408"/>
      <c r="AM381" s="408"/>
      <c r="AN381" s="408"/>
      <c r="AO381" s="408"/>
      <c r="AP381" s="408"/>
      <c r="AQ381" s="408"/>
      <c r="AR381" s="408"/>
      <c r="AS381" s="408"/>
      <c r="AT381" s="408"/>
      <c r="AU381" s="408"/>
    </row>
    <row r="382" spans="1:47" s="3" customFormat="1" ht="17.25" customHeight="1">
      <c r="A382" s="126"/>
      <c r="B382" s="126"/>
      <c r="C382" s="407"/>
      <c r="D382" s="129"/>
      <c r="E382" s="129"/>
      <c r="F382" s="129"/>
      <c r="G382" s="129"/>
      <c r="H382" s="36"/>
      <c r="I382" s="408"/>
      <c r="J382" s="408"/>
      <c r="K382" s="408"/>
      <c r="L382" s="408"/>
      <c r="M382" s="408"/>
      <c r="N382" s="408"/>
      <c r="O382" s="408"/>
      <c r="P382" s="408"/>
      <c r="Q382" s="408"/>
      <c r="R382" s="408"/>
      <c r="S382" s="408"/>
      <c r="T382" s="408"/>
      <c r="U382" s="408"/>
      <c r="V382" s="408"/>
      <c r="W382" s="408"/>
      <c r="X382" s="408"/>
      <c r="Y382" s="408"/>
      <c r="Z382" s="408"/>
      <c r="AA382" s="408"/>
      <c r="AB382" s="408"/>
      <c r="AC382" s="408"/>
      <c r="AD382" s="408"/>
      <c r="AE382" s="408"/>
      <c r="AF382" s="408"/>
      <c r="AG382" s="408"/>
      <c r="AH382" s="408"/>
      <c r="AI382" s="408"/>
      <c r="AJ382" s="408"/>
      <c r="AK382" s="408"/>
      <c r="AL382" s="408"/>
      <c r="AM382" s="408"/>
      <c r="AN382" s="408"/>
      <c r="AO382" s="408"/>
      <c r="AP382" s="408"/>
      <c r="AQ382" s="408"/>
      <c r="AR382" s="408"/>
      <c r="AS382" s="408"/>
      <c r="AT382" s="408"/>
      <c r="AU382" s="408"/>
    </row>
    <row r="383" spans="1:47" s="3" customFormat="1" ht="17.25" customHeight="1">
      <c r="A383" s="149" t="s">
        <v>468</v>
      </c>
      <c r="B383" s="150"/>
      <c r="C383" s="402"/>
      <c r="D383" s="129"/>
      <c r="E383" s="129"/>
      <c r="F383" s="129"/>
      <c r="G383" s="129"/>
      <c r="H383" s="36"/>
      <c r="I383" s="408"/>
      <c r="J383" s="408"/>
      <c r="K383" s="408"/>
      <c r="L383" s="408"/>
      <c r="M383" s="408"/>
      <c r="N383" s="408"/>
      <c r="O383" s="408"/>
      <c r="P383" s="408"/>
      <c r="Q383" s="408"/>
      <c r="R383" s="408"/>
      <c r="S383" s="408"/>
      <c r="T383" s="408"/>
      <c r="U383" s="408"/>
      <c r="V383" s="408"/>
      <c r="W383" s="408"/>
      <c r="X383" s="408"/>
      <c r="Y383" s="408"/>
      <c r="Z383" s="408"/>
      <c r="AA383" s="408"/>
      <c r="AB383" s="408"/>
      <c r="AC383" s="408"/>
      <c r="AD383" s="408"/>
      <c r="AE383" s="408"/>
      <c r="AF383" s="408"/>
      <c r="AG383" s="408"/>
      <c r="AH383" s="408"/>
      <c r="AI383" s="408"/>
      <c r="AJ383" s="408"/>
      <c r="AK383" s="408"/>
      <c r="AL383" s="408"/>
      <c r="AM383" s="408"/>
      <c r="AN383" s="408"/>
      <c r="AO383" s="408"/>
      <c r="AP383" s="408"/>
      <c r="AQ383" s="408"/>
      <c r="AR383" s="408"/>
      <c r="AS383" s="408"/>
      <c r="AT383" s="408"/>
      <c r="AU383" s="408"/>
    </row>
    <row r="384" spans="1:47" s="3" customFormat="1" ht="17.25" customHeight="1">
      <c r="A384" s="151" t="s">
        <v>64</v>
      </c>
      <c r="B384" s="150"/>
      <c r="C384" s="402"/>
      <c r="D384" s="129"/>
      <c r="E384" s="129"/>
      <c r="F384" s="129"/>
      <c r="G384" s="129"/>
      <c r="H384" s="36"/>
      <c r="I384" s="408"/>
      <c r="J384" s="408"/>
      <c r="K384" s="408"/>
      <c r="L384" s="408"/>
      <c r="M384" s="408"/>
      <c r="N384" s="408"/>
      <c r="O384" s="408"/>
      <c r="P384" s="408"/>
      <c r="Q384" s="408"/>
      <c r="R384" s="408"/>
      <c r="S384" s="408"/>
      <c r="T384" s="408"/>
      <c r="U384" s="408"/>
      <c r="V384" s="408"/>
      <c r="W384" s="408"/>
      <c r="X384" s="408"/>
      <c r="Y384" s="408"/>
      <c r="Z384" s="408"/>
      <c r="AA384" s="408"/>
      <c r="AB384" s="408"/>
      <c r="AC384" s="408"/>
      <c r="AD384" s="408"/>
      <c r="AE384" s="408"/>
      <c r="AF384" s="408"/>
      <c r="AG384" s="408"/>
      <c r="AH384" s="408"/>
      <c r="AI384" s="408"/>
      <c r="AJ384" s="408"/>
      <c r="AK384" s="408"/>
      <c r="AL384" s="408"/>
      <c r="AM384" s="408"/>
      <c r="AN384" s="408"/>
      <c r="AO384" s="408"/>
      <c r="AP384" s="408"/>
      <c r="AQ384" s="408"/>
      <c r="AR384" s="408"/>
      <c r="AS384" s="408"/>
      <c r="AT384" s="408"/>
      <c r="AU384" s="408"/>
    </row>
    <row r="385" spans="1:47" s="3" customFormat="1" ht="17.25" customHeight="1">
      <c r="A385" s="151" t="s">
        <v>458</v>
      </c>
      <c r="B385" s="95"/>
      <c r="C385" s="402"/>
      <c r="D385" s="129"/>
      <c r="E385" s="129"/>
      <c r="F385" s="129"/>
      <c r="G385" s="129"/>
      <c r="H385" s="36"/>
      <c r="I385" s="408"/>
      <c r="J385" s="408"/>
      <c r="K385" s="408"/>
      <c r="L385" s="408"/>
      <c r="M385" s="408"/>
      <c r="N385" s="408"/>
      <c r="O385" s="408"/>
      <c r="P385" s="408"/>
      <c r="Q385" s="408"/>
      <c r="R385" s="408"/>
      <c r="S385" s="408"/>
      <c r="T385" s="408"/>
      <c r="U385" s="408"/>
      <c r="V385" s="408"/>
      <c r="W385" s="408"/>
      <c r="X385" s="408"/>
      <c r="Y385" s="408"/>
      <c r="Z385" s="408"/>
      <c r="AA385" s="408"/>
      <c r="AB385" s="408"/>
      <c r="AC385" s="408"/>
      <c r="AD385" s="408"/>
      <c r="AE385" s="408"/>
      <c r="AF385" s="408"/>
      <c r="AG385" s="408"/>
      <c r="AH385" s="408"/>
      <c r="AI385" s="408"/>
      <c r="AJ385" s="408"/>
      <c r="AK385" s="408"/>
      <c r="AL385" s="408"/>
      <c r="AM385" s="408"/>
      <c r="AN385" s="408"/>
      <c r="AO385" s="408"/>
      <c r="AP385" s="408"/>
      <c r="AQ385" s="408"/>
      <c r="AR385" s="408"/>
      <c r="AS385" s="408"/>
      <c r="AT385" s="408"/>
      <c r="AU385" s="408"/>
    </row>
    <row r="386" spans="1:47" s="3" customFormat="1" ht="17.25" customHeight="1">
      <c r="A386" s="151"/>
      <c r="B386" s="95"/>
      <c r="C386" s="120"/>
      <c r="D386" s="22"/>
      <c r="E386" s="16"/>
      <c r="F386" s="35"/>
      <c r="G386" s="129"/>
      <c r="H386" s="36"/>
      <c r="I386" s="408"/>
      <c r="J386" s="408"/>
      <c r="K386" s="408"/>
      <c r="L386" s="40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  <c r="AA386" s="408"/>
      <c r="AB386" s="408"/>
      <c r="AC386" s="408"/>
      <c r="AD386" s="408"/>
      <c r="AE386" s="408"/>
      <c r="AF386" s="408"/>
      <c r="AG386" s="408"/>
      <c r="AH386" s="408"/>
      <c r="AI386" s="408"/>
      <c r="AJ386" s="408"/>
      <c r="AK386" s="408"/>
      <c r="AL386" s="408"/>
      <c r="AM386" s="408"/>
      <c r="AN386" s="408"/>
      <c r="AO386" s="408"/>
      <c r="AP386" s="408"/>
      <c r="AQ386" s="408"/>
      <c r="AR386" s="408"/>
      <c r="AS386" s="408"/>
      <c r="AT386" s="408"/>
      <c r="AU386" s="408"/>
    </row>
    <row r="387" spans="1:47" s="3" customFormat="1" ht="17.25" customHeight="1">
      <c r="A387" s="151"/>
      <c r="B387" s="95"/>
      <c r="C387" s="127"/>
      <c r="D387" s="128"/>
      <c r="E387" s="129"/>
      <c r="F387" s="130"/>
      <c r="G387" s="129"/>
      <c r="H387" s="36"/>
      <c r="I387" s="408"/>
      <c r="J387" s="408"/>
      <c r="K387" s="408"/>
      <c r="L387" s="408"/>
      <c r="M387" s="408"/>
      <c r="N387" s="408"/>
      <c r="O387" s="408"/>
      <c r="P387" s="408"/>
      <c r="Q387" s="408"/>
      <c r="R387" s="408"/>
      <c r="S387" s="408"/>
      <c r="T387" s="408"/>
      <c r="U387" s="408"/>
      <c r="V387" s="408"/>
      <c r="W387" s="408"/>
      <c r="X387" s="408"/>
      <c r="Y387" s="408"/>
      <c r="Z387" s="408"/>
      <c r="AA387" s="408"/>
      <c r="AB387" s="408"/>
      <c r="AC387" s="408"/>
      <c r="AD387" s="408"/>
      <c r="AE387" s="408"/>
      <c r="AF387" s="408"/>
      <c r="AG387" s="408"/>
      <c r="AH387" s="408"/>
      <c r="AI387" s="408"/>
      <c r="AJ387" s="408"/>
      <c r="AK387" s="408"/>
      <c r="AL387" s="408"/>
      <c r="AM387" s="408"/>
      <c r="AN387" s="408"/>
      <c r="AO387" s="408"/>
      <c r="AP387" s="408"/>
      <c r="AQ387" s="408"/>
      <c r="AR387" s="408"/>
      <c r="AS387" s="408"/>
      <c r="AT387" s="408"/>
      <c r="AU387" s="408"/>
    </row>
    <row r="388" spans="1:47" s="3" customFormat="1" ht="17.25" customHeight="1">
      <c r="A388" s="149" t="s">
        <v>469</v>
      </c>
      <c r="B388" s="150"/>
      <c r="C388" s="402"/>
      <c r="D388" s="129"/>
      <c r="E388" s="129"/>
      <c r="F388" s="129"/>
      <c r="G388" s="129"/>
      <c r="H388" s="36"/>
      <c r="I388" s="408"/>
      <c r="J388" s="408"/>
      <c r="K388" s="408"/>
      <c r="L388" s="408"/>
      <c r="M388" s="408"/>
      <c r="N388" s="408"/>
      <c r="O388" s="408"/>
      <c r="P388" s="408"/>
      <c r="Q388" s="408"/>
      <c r="R388" s="408"/>
      <c r="S388" s="408"/>
      <c r="T388" s="408"/>
      <c r="U388" s="408"/>
      <c r="V388" s="408"/>
      <c r="W388" s="408"/>
      <c r="X388" s="408"/>
      <c r="Y388" s="408"/>
      <c r="Z388" s="408"/>
      <c r="AA388" s="408"/>
      <c r="AB388" s="408"/>
      <c r="AC388" s="408"/>
      <c r="AD388" s="408"/>
      <c r="AE388" s="408"/>
      <c r="AF388" s="408"/>
      <c r="AG388" s="408"/>
      <c r="AH388" s="408"/>
      <c r="AI388" s="408"/>
      <c r="AJ388" s="408"/>
      <c r="AK388" s="408"/>
      <c r="AL388" s="408"/>
      <c r="AM388" s="408"/>
      <c r="AN388" s="408"/>
      <c r="AO388" s="408"/>
      <c r="AP388" s="408"/>
      <c r="AQ388" s="408"/>
      <c r="AR388" s="408"/>
      <c r="AS388" s="408"/>
      <c r="AT388" s="408"/>
      <c r="AU388" s="408"/>
    </row>
    <row r="389" spans="1:47" s="3" customFormat="1" ht="17.25" customHeight="1">
      <c r="A389" s="151" t="s">
        <v>64</v>
      </c>
      <c r="B389" s="150"/>
      <c r="C389" s="402"/>
      <c r="D389" s="129"/>
      <c r="E389" s="129"/>
      <c r="F389" s="129"/>
      <c r="G389" s="129"/>
      <c r="H389" s="36"/>
      <c r="I389" s="408"/>
      <c r="J389" s="408"/>
      <c r="K389" s="408"/>
      <c r="L389" s="40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  <c r="AA389" s="408"/>
      <c r="AB389" s="408"/>
      <c r="AC389" s="408"/>
      <c r="AD389" s="408"/>
      <c r="AE389" s="408"/>
      <c r="AF389" s="408"/>
      <c r="AG389" s="408"/>
      <c r="AH389" s="408"/>
      <c r="AI389" s="408"/>
      <c r="AJ389" s="408"/>
      <c r="AK389" s="408"/>
      <c r="AL389" s="408"/>
      <c r="AM389" s="408"/>
      <c r="AN389" s="408"/>
      <c r="AO389" s="408"/>
      <c r="AP389" s="408"/>
      <c r="AQ389" s="408"/>
      <c r="AR389" s="408"/>
      <c r="AS389" s="408"/>
      <c r="AT389" s="408"/>
      <c r="AU389" s="408"/>
    </row>
    <row r="390" spans="1:47" s="3" customFormat="1" ht="17.25" customHeight="1">
      <c r="A390" s="151" t="s">
        <v>65</v>
      </c>
      <c r="B390" s="95"/>
      <c r="C390" s="402"/>
      <c r="D390" s="129"/>
      <c r="E390" s="129"/>
      <c r="F390" s="129"/>
      <c r="G390" s="129"/>
      <c r="H390" s="36"/>
      <c r="I390" s="408"/>
      <c r="J390" s="408"/>
      <c r="K390" s="408"/>
      <c r="L390" s="408"/>
      <c r="M390" s="408"/>
      <c r="N390" s="408"/>
      <c r="O390" s="408"/>
      <c r="P390" s="408"/>
      <c r="Q390" s="408"/>
      <c r="R390" s="408"/>
      <c r="S390" s="408"/>
      <c r="T390" s="408"/>
      <c r="U390" s="408"/>
      <c r="V390" s="408"/>
      <c r="W390" s="408"/>
      <c r="X390" s="408"/>
      <c r="Y390" s="408"/>
      <c r="Z390" s="408"/>
      <c r="AA390" s="408"/>
      <c r="AB390" s="408"/>
      <c r="AC390" s="408"/>
      <c r="AD390" s="408"/>
      <c r="AE390" s="408"/>
      <c r="AF390" s="408"/>
      <c r="AG390" s="408"/>
      <c r="AH390" s="408"/>
      <c r="AI390" s="408"/>
      <c r="AJ390" s="408"/>
      <c r="AK390" s="408"/>
      <c r="AL390" s="408"/>
      <c r="AM390" s="408"/>
      <c r="AN390" s="408"/>
      <c r="AO390" s="408"/>
      <c r="AP390" s="408"/>
      <c r="AQ390" s="408"/>
      <c r="AR390" s="408"/>
      <c r="AS390" s="408"/>
      <c r="AT390" s="408"/>
      <c r="AU390" s="408"/>
    </row>
    <row r="391" spans="1:8" ht="18.75">
      <c r="A391" s="126"/>
      <c r="B391" s="126"/>
      <c r="C391" s="402"/>
      <c r="D391" s="16"/>
      <c r="E391" s="16"/>
      <c r="F391" s="16"/>
      <c r="G391" s="108"/>
      <c r="H391" s="17"/>
    </row>
    <row r="392" spans="1:8" ht="15.75">
      <c r="A392" s="131"/>
      <c r="B392" s="49"/>
      <c r="C392" s="402"/>
      <c r="D392" s="16"/>
      <c r="E392" s="16"/>
      <c r="F392" s="16"/>
      <c r="G392" s="108"/>
      <c r="H392" s="102"/>
    </row>
    <row r="393" spans="1:10" ht="16.5">
      <c r="A393" s="152" t="s">
        <v>470</v>
      </c>
      <c r="B393" s="49"/>
      <c r="C393" s="156"/>
      <c r="D393" s="157"/>
      <c r="E393" s="16"/>
      <c r="F393" s="16"/>
      <c r="G393" s="108"/>
      <c r="H393" s="102"/>
      <c r="J393" s="409"/>
    </row>
    <row r="394" spans="1:10" ht="16.5">
      <c r="A394" s="131"/>
      <c r="B394" s="49"/>
      <c r="C394" s="156"/>
      <c r="D394" s="157"/>
      <c r="E394" s="16"/>
      <c r="F394" s="16"/>
      <c r="G394" s="108"/>
      <c r="H394" s="102"/>
      <c r="J394" s="409"/>
    </row>
    <row r="395" spans="1:10" ht="16.5">
      <c r="A395" s="131"/>
      <c r="B395" s="49"/>
      <c r="C395" s="156"/>
      <c r="D395" s="157"/>
      <c r="E395" s="16"/>
      <c r="F395" s="16"/>
      <c r="G395" s="108"/>
      <c r="H395" s="102"/>
      <c r="J395" s="409"/>
    </row>
    <row r="396" spans="1:8" ht="16.5">
      <c r="A396" s="155" t="s">
        <v>303</v>
      </c>
      <c r="B396" s="112"/>
      <c r="C396" s="156"/>
      <c r="D396" s="157"/>
      <c r="E396" s="16"/>
      <c r="F396" s="16"/>
      <c r="G396" s="108"/>
      <c r="H396" s="102">
        <f>H400+H403</f>
        <v>265342.95</v>
      </c>
    </row>
    <row r="397" spans="1:8" ht="16.5">
      <c r="A397" s="155" t="s">
        <v>38</v>
      </c>
      <c r="B397" s="112"/>
      <c r="C397" s="156"/>
      <c r="D397" s="157"/>
      <c r="E397" s="16"/>
      <c r="F397" s="16"/>
      <c r="G397" s="108"/>
      <c r="H397" s="102">
        <f>H401+H404</f>
        <v>446761.7</v>
      </c>
    </row>
    <row r="398" spans="1:8" ht="16.5">
      <c r="A398" s="112" t="s">
        <v>302</v>
      </c>
      <c r="B398" s="112"/>
      <c r="C398" s="156"/>
      <c r="D398" s="157"/>
      <c r="E398" s="16"/>
      <c r="F398" s="16"/>
      <c r="G398" s="108"/>
      <c r="H398" s="102"/>
    </row>
    <row r="399" spans="1:10" ht="16.5">
      <c r="A399" s="112"/>
      <c r="B399" s="112"/>
      <c r="C399" s="156"/>
      <c r="D399" s="157"/>
      <c r="E399" s="16"/>
      <c r="F399" s="16"/>
      <c r="G399" s="108"/>
      <c r="H399" s="102"/>
      <c r="J399" s="409"/>
    </row>
    <row r="400" spans="1:10" ht="16.5">
      <c r="A400" s="112"/>
      <c r="B400" s="112" t="s">
        <v>39</v>
      </c>
      <c r="C400" s="156"/>
      <c r="D400" s="157"/>
      <c r="E400" s="16"/>
      <c r="F400" s="16"/>
      <c r="G400" s="108"/>
      <c r="H400" s="102">
        <v>199338.16</v>
      </c>
      <c r="J400" s="409"/>
    </row>
    <row r="401" spans="1:10" ht="16.5">
      <c r="A401" s="112"/>
      <c r="B401" s="112" t="s">
        <v>40</v>
      </c>
      <c r="C401" s="156"/>
      <c r="D401" s="157"/>
      <c r="E401" s="16"/>
      <c r="F401" s="16"/>
      <c r="G401" s="108"/>
      <c r="H401" s="102">
        <f>H400+F154</f>
        <v>400756.91000000003</v>
      </c>
      <c r="J401" s="409"/>
    </row>
    <row r="402" spans="1:10" ht="16.5">
      <c r="A402" s="112"/>
      <c r="B402" s="112"/>
      <c r="C402" s="156"/>
      <c r="D402" s="157"/>
      <c r="E402" s="16"/>
      <c r="F402" s="16"/>
      <c r="G402" s="108"/>
      <c r="H402" s="102"/>
      <c r="J402" s="409"/>
    </row>
    <row r="403" spans="1:10" ht="16.5">
      <c r="A403" s="112"/>
      <c r="B403" s="112" t="s">
        <v>317</v>
      </c>
      <c r="C403" s="156"/>
      <c r="D403" s="157"/>
      <c r="E403" s="16"/>
      <c r="F403" s="16"/>
      <c r="G403" s="108"/>
      <c r="H403" s="102">
        <v>66004.79</v>
      </c>
      <c r="J403" s="409"/>
    </row>
    <row r="404" spans="1:10" ht="16.5">
      <c r="A404" s="112"/>
      <c r="B404" s="112" t="s">
        <v>40</v>
      </c>
      <c r="C404" s="156"/>
      <c r="D404" s="157"/>
      <c r="E404" s="16"/>
      <c r="F404" s="16"/>
      <c r="G404" s="108"/>
      <c r="H404" s="102">
        <f>H403-D232</f>
        <v>46004.78999999999</v>
      </c>
      <c r="J404" s="409"/>
    </row>
    <row r="405" spans="1:10" ht="16.5">
      <c r="A405" s="112"/>
      <c r="B405" s="112"/>
      <c r="C405" s="156"/>
      <c r="D405" s="157"/>
      <c r="E405" s="16"/>
      <c r="F405" s="16"/>
      <c r="G405" s="108"/>
      <c r="H405" s="102"/>
      <c r="J405" s="409"/>
    </row>
    <row r="406" spans="1:10" ht="16.5">
      <c r="A406" s="131"/>
      <c r="B406" s="49"/>
      <c r="C406" s="156"/>
      <c r="D406" s="19"/>
      <c r="E406" s="16"/>
      <c r="F406" s="16"/>
      <c r="G406" s="102"/>
      <c r="H406" s="102"/>
      <c r="J406" s="409"/>
    </row>
    <row r="407" spans="1:8" ht="16.5">
      <c r="A407" s="155" t="s">
        <v>264</v>
      </c>
      <c r="B407" s="112"/>
      <c r="C407" s="156"/>
      <c r="D407" s="19"/>
      <c r="E407" s="16"/>
      <c r="F407" s="16"/>
      <c r="G407" s="102"/>
      <c r="H407" s="102">
        <v>135167.16</v>
      </c>
    </row>
    <row r="408" spans="1:10" ht="16.5">
      <c r="A408" s="112" t="s">
        <v>38</v>
      </c>
      <c r="B408" s="112"/>
      <c r="C408" s="156"/>
      <c r="D408" s="157"/>
      <c r="E408" s="16"/>
      <c r="F408" s="16"/>
      <c r="G408" s="102"/>
      <c r="H408" s="102">
        <f>H407+F155</f>
        <v>525367.16</v>
      </c>
      <c r="J408" s="409"/>
    </row>
    <row r="409" spans="1:10" ht="16.5">
      <c r="A409" s="112"/>
      <c r="B409" s="112" t="s">
        <v>2</v>
      </c>
      <c r="C409" s="156"/>
      <c r="D409" s="157"/>
      <c r="E409" s="16"/>
      <c r="F409" s="16"/>
      <c r="G409" s="102"/>
      <c r="H409" s="102"/>
      <c r="J409" s="409"/>
    </row>
    <row r="410" spans="1:8" ht="16.5">
      <c r="A410" s="112"/>
      <c r="B410" s="112" t="s">
        <v>39</v>
      </c>
      <c r="C410" s="156"/>
      <c r="D410" s="157"/>
      <c r="E410" s="16"/>
      <c r="F410" s="16"/>
      <c r="G410" s="102"/>
      <c r="H410" s="102">
        <v>93672.66</v>
      </c>
    </row>
    <row r="411" spans="1:8" ht="16.5">
      <c r="A411" s="112"/>
      <c r="B411" s="112" t="s">
        <v>40</v>
      </c>
      <c r="C411" s="156"/>
      <c r="D411" s="157"/>
      <c r="E411" s="16"/>
      <c r="F411" s="16"/>
      <c r="G411" s="102"/>
      <c r="H411" s="102">
        <f>H410+F155</f>
        <v>483872.66000000003</v>
      </c>
    </row>
    <row r="412" spans="1:8" ht="16.5" customHeight="1">
      <c r="A412" s="112"/>
      <c r="B412" s="112"/>
      <c r="C412" s="132"/>
      <c r="D412" s="133"/>
      <c r="E412" s="133"/>
      <c r="F412" s="134"/>
      <c r="G412" s="133"/>
      <c r="H412" s="102"/>
    </row>
    <row r="413" spans="1:8" ht="16.5" customHeight="1">
      <c r="A413" s="112"/>
      <c r="B413" s="112"/>
      <c r="C413" s="132"/>
      <c r="D413" s="133"/>
      <c r="E413" s="133"/>
      <c r="F413" s="134"/>
      <c r="G413" s="133"/>
      <c r="H413" s="102"/>
    </row>
    <row r="414" spans="1:8" ht="18" customHeight="1">
      <c r="A414" s="70" t="s">
        <v>41</v>
      </c>
      <c r="B414" s="70"/>
      <c r="C414" s="136"/>
      <c r="D414" s="137"/>
      <c r="E414" s="137"/>
      <c r="F414" s="138"/>
      <c r="G414" s="137"/>
      <c r="H414" s="17"/>
    </row>
    <row r="415" spans="1:8" ht="18" customHeight="1">
      <c r="A415" s="70"/>
      <c r="B415" s="70"/>
      <c r="C415" s="136"/>
      <c r="D415" s="137"/>
      <c r="E415" s="137"/>
      <c r="F415" s="138"/>
      <c r="G415" s="137"/>
      <c r="H415" s="17"/>
    </row>
    <row r="416" spans="1:8" ht="18" customHeight="1">
      <c r="A416" s="70"/>
      <c r="B416" s="70"/>
      <c r="C416" s="136"/>
      <c r="D416" s="137"/>
      <c r="E416" s="137"/>
      <c r="F416" s="138"/>
      <c r="G416" s="137"/>
      <c r="H416" s="17"/>
    </row>
    <row r="417" spans="1:8" ht="18" customHeight="1">
      <c r="A417" s="135" t="s">
        <v>448</v>
      </c>
      <c r="B417" s="135"/>
      <c r="C417" s="136"/>
      <c r="D417" s="137"/>
      <c r="E417" s="137"/>
      <c r="F417" s="138"/>
      <c r="G417" s="137"/>
      <c r="H417" s="17"/>
    </row>
    <row r="418" spans="1:8" ht="18" customHeight="1">
      <c r="A418" s="135" t="s">
        <v>449</v>
      </c>
      <c r="B418" s="135"/>
      <c r="C418" s="136"/>
      <c r="D418" s="137"/>
      <c r="E418" s="137"/>
      <c r="F418" s="138"/>
      <c r="G418" s="137"/>
      <c r="H418" s="17"/>
    </row>
    <row r="419" spans="1:8" ht="18" customHeight="1">
      <c r="A419" s="135" t="s">
        <v>463</v>
      </c>
      <c r="B419" s="135"/>
      <c r="C419" s="136"/>
      <c r="D419" s="137"/>
      <c r="E419" s="137"/>
      <c r="F419" s="138"/>
      <c r="G419" s="137"/>
      <c r="H419" s="17"/>
    </row>
    <row r="420" spans="1:8" ht="18" customHeight="1">
      <c r="A420" s="135" t="s">
        <v>450</v>
      </c>
      <c r="B420" s="135"/>
      <c r="C420" s="136"/>
      <c r="D420" s="137"/>
      <c r="E420" s="137"/>
      <c r="F420" s="138"/>
      <c r="G420" s="137"/>
      <c r="H420" s="17"/>
    </row>
    <row r="421" spans="1:8" ht="18" customHeight="1">
      <c r="A421" s="135"/>
      <c r="B421" s="135"/>
      <c r="C421" s="136"/>
      <c r="D421" s="137"/>
      <c r="E421" s="137"/>
      <c r="F421" s="138"/>
      <c r="G421" s="137"/>
      <c r="H421" s="17"/>
    </row>
    <row r="422" spans="1:8" ht="18" customHeight="1">
      <c r="A422" s="70"/>
      <c r="B422" s="70"/>
      <c r="C422" s="136"/>
      <c r="D422" s="137"/>
      <c r="E422" s="137"/>
      <c r="F422" s="138"/>
      <c r="G422" s="137"/>
      <c r="H422" s="17"/>
    </row>
    <row r="423" spans="1:8" ht="18" customHeight="1">
      <c r="A423" s="70"/>
      <c r="B423" s="70"/>
      <c r="C423" s="136"/>
      <c r="D423" s="137"/>
      <c r="E423" s="137"/>
      <c r="F423" s="138"/>
      <c r="G423" s="137"/>
      <c r="H423" s="17"/>
    </row>
    <row r="424" spans="1:8" ht="18" customHeight="1">
      <c r="A424" s="70" t="s">
        <v>43</v>
      </c>
      <c r="B424" s="70"/>
      <c r="C424" s="136"/>
      <c r="D424" s="137"/>
      <c r="E424" s="137"/>
      <c r="F424" s="138"/>
      <c r="G424" s="137"/>
      <c r="H424" s="17"/>
    </row>
    <row r="425" spans="1:8" ht="18" customHeight="1">
      <c r="A425" s="70"/>
      <c r="B425" s="70"/>
      <c r="C425" s="136"/>
      <c r="D425" s="137"/>
      <c r="E425" s="137"/>
      <c r="F425" s="138"/>
      <c r="G425" s="137"/>
      <c r="H425" s="17"/>
    </row>
    <row r="426" spans="1:8" ht="18" customHeight="1">
      <c r="A426" s="135" t="s">
        <v>42</v>
      </c>
      <c r="B426" s="135"/>
      <c r="C426" s="136"/>
      <c r="D426" s="137"/>
      <c r="E426" s="137"/>
      <c r="F426" s="138"/>
      <c r="G426" s="137"/>
      <c r="H426" s="17"/>
    </row>
    <row r="427" spans="1:8" ht="18" customHeight="1">
      <c r="A427" s="135"/>
      <c r="B427" s="135"/>
      <c r="C427" s="136"/>
      <c r="D427" s="137"/>
      <c r="E427" s="137"/>
      <c r="F427" s="138"/>
      <c r="G427" s="137"/>
      <c r="H427" s="17"/>
    </row>
    <row r="428" spans="1:8" ht="16.5" customHeight="1">
      <c r="A428" s="135"/>
      <c r="B428" s="135"/>
      <c r="C428" s="132"/>
      <c r="D428" s="133"/>
      <c r="E428" s="133"/>
      <c r="F428" s="134"/>
      <c r="G428" s="133"/>
      <c r="H428" s="102"/>
    </row>
    <row r="429" spans="1:7" ht="18.75">
      <c r="A429" s="70" t="s">
        <v>451</v>
      </c>
      <c r="B429" s="70"/>
      <c r="C429" s="136"/>
      <c r="D429" s="137"/>
      <c r="E429" s="137"/>
      <c r="F429" s="138"/>
      <c r="G429" s="137"/>
    </row>
    <row r="430" spans="1:7" ht="18.75">
      <c r="A430" s="70"/>
      <c r="B430" s="70"/>
      <c r="C430" s="136"/>
      <c r="D430" s="137"/>
      <c r="E430" s="137"/>
      <c r="F430" s="138"/>
      <c r="G430" s="137"/>
    </row>
    <row r="431" spans="1:7" ht="18.75">
      <c r="A431" s="135" t="s">
        <v>44</v>
      </c>
      <c r="B431" s="135"/>
      <c r="C431" s="136"/>
      <c r="D431" s="137"/>
      <c r="E431" s="137"/>
      <c r="F431" s="138"/>
      <c r="G431" s="137"/>
    </row>
    <row r="432" spans="1:7" ht="18.75">
      <c r="A432" s="135"/>
      <c r="B432" s="135"/>
      <c r="C432" s="136"/>
      <c r="D432" s="137"/>
      <c r="E432" s="137"/>
      <c r="F432" s="138"/>
      <c r="G432" s="137"/>
    </row>
    <row r="433" spans="1:7" ht="18.75">
      <c r="A433" s="135"/>
      <c r="B433" s="135"/>
      <c r="C433" s="136"/>
      <c r="D433" s="137"/>
      <c r="E433" s="137"/>
      <c r="F433" s="138"/>
      <c r="G433" s="137"/>
    </row>
    <row r="434" spans="1:7" ht="18.75">
      <c r="A434" s="135"/>
      <c r="B434" s="135"/>
      <c r="C434" s="136"/>
      <c r="D434" s="137"/>
      <c r="E434" s="137"/>
      <c r="F434" s="138"/>
      <c r="G434" s="137"/>
    </row>
    <row r="435" spans="1:7" ht="18.75">
      <c r="A435" s="135"/>
      <c r="B435" s="135"/>
      <c r="C435" s="68"/>
      <c r="D435" s="139"/>
      <c r="E435" s="139"/>
      <c r="F435" s="140" t="s">
        <v>45</v>
      </c>
      <c r="G435" s="139"/>
    </row>
    <row r="436" spans="1:7" ht="18.75">
      <c r="A436" s="135"/>
      <c r="B436" s="135"/>
      <c r="C436" s="68"/>
      <c r="D436" s="139"/>
      <c r="E436" s="139"/>
      <c r="F436" s="140" t="s">
        <v>46</v>
      </c>
      <c r="G436" s="139"/>
    </row>
    <row r="437" spans="1:7" ht="18.75">
      <c r="A437" s="67"/>
      <c r="B437" s="67"/>
      <c r="C437" s="68"/>
      <c r="D437" s="139"/>
      <c r="E437" s="139"/>
      <c r="F437" s="140"/>
      <c r="G437" s="139"/>
    </row>
    <row r="438" spans="1:7" ht="19.5">
      <c r="A438" s="67"/>
      <c r="B438" s="67"/>
      <c r="C438" s="68"/>
      <c r="D438" s="139"/>
      <c r="E438" s="139"/>
      <c r="F438" s="141" t="s">
        <v>47</v>
      </c>
      <c r="G438" s="139"/>
    </row>
    <row r="439" spans="1:3" ht="18.75">
      <c r="A439" s="67"/>
      <c r="B439" s="67"/>
      <c r="C439" s="402"/>
    </row>
    <row r="440" spans="1:3" ht="18.75">
      <c r="A440" s="67"/>
      <c r="B440" s="67"/>
      <c r="C440" s="402"/>
    </row>
    <row r="441" spans="1:3" ht="18.75">
      <c r="A441" s="49"/>
      <c r="B441" s="49"/>
      <c r="C441" s="402"/>
    </row>
    <row r="442" spans="1:2" ht="18.75">
      <c r="A442" s="49"/>
      <c r="B442" s="49"/>
    </row>
    <row r="443" spans="1:2" ht="18.75">
      <c r="A443" s="49"/>
      <c r="B443" s="49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31">
      <selection activeCell="F27" sqref="F27"/>
    </sheetView>
  </sheetViews>
  <sheetFormatPr defaultColWidth="9.140625" defaultRowHeight="12.75"/>
  <cols>
    <col min="1" max="1" width="4.57421875" style="144" customWidth="1"/>
    <col min="2" max="2" width="5.140625" style="43" customWidth="1"/>
    <col min="3" max="3" width="6.57421875" style="43" customWidth="1"/>
    <col min="4" max="4" width="5.28125" style="148" customWidth="1"/>
    <col min="5" max="5" width="40.7109375" style="44" customWidth="1"/>
    <col min="6" max="6" width="16.28125" style="144" customWidth="1"/>
    <col min="7" max="7" width="16.00390625" style="144" customWidth="1"/>
    <col min="8" max="8" width="15.140625" style="43" hidden="1" customWidth="1"/>
    <col min="9" max="9" width="20.8515625" style="43" customWidth="1"/>
    <col min="10" max="10" width="14.7109375" style="160" customWidth="1"/>
    <col min="11" max="11" width="9.140625" style="160" customWidth="1"/>
    <col min="12" max="12" width="32.140625" style="160" customWidth="1"/>
    <col min="13" max="15" width="9.140625" style="160" customWidth="1"/>
    <col min="16" max="16384" width="9.140625" style="43" customWidth="1"/>
  </cols>
  <sheetData>
    <row r="1" spans="1:7" ht="20.25">
      <c r="A1" s="172"/>
      <c r="B1" s="163"/>
      <c r="C1" s="163"/>
      <c r="D1" s="172"/>
      <c r="F1" s="173" t="s">
        <v>74</v>
      </c>
      <c r="G1" s="43"/>
    </row>
    <row r="2" spans="1:7" ht="18.75">
      <c r="A2" s="172"/>
      <c r="B2" s="163"/>
      <c r="C2" s="163"/>
      <c r="D2" s="172"/>
      <c r="F2" s="174" t="s">
        <v>199</v>
      </c>
      <c r="G2" s="43"/>
    </row>
    <row r="3" spans="1:7" ht="18.75">
      <c r="A3" s="172"/>
      <c r="B3" s="163"/>
      <c r="C3" s="163"/>
      <c r="D3" s="172"/>
      <c r="F3" s="174" t="s">
        <v>75</v>
      </c>
      <c r="G3" s="43"/>
    </row>
    <row r="4" spans="1:7" ht="16.5">
      <c r="A4" s="172"/>
      <c r="B4" s="163"/>
      <c r="C4" s="163"/>
      <c r="D4" s="172"/>
      <c r="F4" s="175" t="s">
        <v>339</v>
      </c>
      <c r="G4" s="43"/>
    </row>
    <row r="5" spans="1:7" ht="12.75">
      <c r="A5" s="172"/>
      <c r="B5" s="163"/>
      <c r="C5" s="163"/>
      <c r="D5" s="172"/>
      <c r="E5" s="176"/>
      <c r="F5" s="142"/>
      <c r="G5" s="43"/>
    </row>
    <row r="6" spans="1:7" ht="19.5">
      <c r="A6" s="172"/>
      <c r="B6" s="177"/>
      <c r="C6" s="178" t="s">
        <v>76</v>
      </c>
      <c r="D6" s="179"/>
      <c r="E6" s="180"/>
      <c r="F6" s="181"/>
      <c r="G6" s="181"/>
    </row>
    <row r="7" spans="1:7" ht="19.5">
      <c r="A7" s="172"/>
      <c r="B7" s="177"/>
      <c r="C7" s="178" t="s">
        <v>77</v>
      </c>
      <c r="D7" s="179"/>
      <c r="E7" s="180"/>
      <c r="F7" s="181"/>
      <c r="G7" s="182"/>
    </row>
    <row r="8" spans="1:7" ht="18.75">
      <c r="A8" s="172"/>
      <c r="B8" s="177"/>
      <c r="C8" s="183"/>
      <c r="D8" s="179"/>
      <c r="E8" s="180"/>
      <c r="F8" s="181"/>
      <c r="G8" s="181"/>
    </row>
    <row r="9" spans="1:7" ht="12.75">
      <c r="A9" s="172"/>
      <c r="B9" s="177" t="s">
        <v>3</v>
      </c>
      <c r="C9" s="184"/>
      <c r="D9" s="185"/>
      <c r="E9" s="180"/>
      <c r="F9" s="186" t="s">
        <v>78</v>
      </c>
      <c r="G9" s="186"/>
    </row>
    <row r="10" spans="1:7" ht="18.75" customHeight="1">
      <c r="A10" s="187"/>
      <c r="B10" s="188"/>
      <c r="C10" s="189"/>
      <c r="D10" s="190"/>
      <c r="E10" s="188"/>
      <c r="F10" s="191" t="s">
        <v>79</v>
      </c>
      <c r="G10" s="192"/>
    </row>
    <row r="11" spans="1:7" ht="18.75" customHeight="1">
      <c r="A11" s="193" t="s">
        <v>80</v>
      </c>
      <c r="B11" s="194" t="s">
        <v>13</v>
      </c>
      <c r="C11" s="195" t="s">
        <v>11</v>
      </c>
      <c r="D11" s="195" t="s">
        <v>6</v>
      </c>
      <c r="E11" s="194" t="s">
        <v>81</v>
      </c>
      <c r="F11" s="196"/>
      <c r="G11" s="197" t="s">
        <v>2</v>
      </c>
    </row>
    <row r="12" spans="1:10" ht="40.5" customHeight="1">
      <c r="A12" s="198"/>
      <c r="B12" s="199"/>
      <c r="C12" s="200"/>
      <c r="D12" s="201"/>
      <c r="E12" s="199"/>
      <c r="F12" s="202" t="s">
        <v>82</v>
      </c>
      <c r="G12" s="203" t="s">
        <v>83</v>
      </c>
      <c r="I12" s="204"/>
      <c r="J12" s="205"/>
    </row>
    <row r="13" spans="1:10" ht="21" customHeight="1">
      <c r="A13" s="187"/>
      <c r="B13" s="206" t="s">
        <v>84</v>
      </c>
      <c r="C13" s="207"/>
      <c r="D13" s="208"/>
      <c r="E13" s="209"/>
      <c r="F13" s="210">
        <f>F14+F25+F30+F37+F43+F76+F46+F72+F80+F122+F127</f>
        <v>38813048.620000005</v>
      </c>
      <c r="G13" s="210">
        <f>G14+G25+G30+G37+G43+G76+G46+G72+G80+G122+G127</f>
        <v>7865047.100000001</v>
      </c>
      <c r="I13" s="211"/>
      <c r="J13" s="212"/>
    </row>
    <row r="14" spans="1:10" ht="24.75" customHeight="1">
      <c r="A14" s="213"/>
      <c r="B14" s="214">
        <v>600</v>
      </c>
      <c r="C14" s="214"/>
      <c r="D14" s="215"/>
      <c r="E14" s="216" t="s">
        <v>85</v>
      </c>
      <c r="F14" s="217">
        <f>F15+F17</f>
        <v>5119218</v>
      </c>
      <c r="G14" s="218">
        <f>G15+G17</f>
        <v>179242.73</v>
      </c>
      <c r="I14" s="219"/>
      <c r="J14" s="220"/>
    </row>
    <row r="15" spans="1:15" s="278" customFormat="1" ht="24.75" customHeight="1">
      <c r="A15" s="198"/>
      <c r="B15" s="243"/>
      <c r="C15" s="222">
        <v>60004</v>
      </c>
      <c r="D15" s="229"/>
      <c r="E15" s="360" t="s">
        <v>261</v>
      </c>
      <c r="F15" s="423">
        <f>F16</f>
        <v>13500</v>
      </c>
      <c r="G15" s="232"/>
      <c r="I15" s="421"/>
      <c r="J15" s="422"/>
      <c r="K15" s="279"/>
      <c r="L15" s="279"/>
      <c r="M15" s="279"/>
      <c r="N15" s="279"/>
      <c r="O15" s="279"/>
    </row>
    <row r="16" spans="1:15" s="278" customFormat="1" ht="24.75" customHeight="1">
      <c r="A16" s="198"/>
      <c r="B16" s="243"/>
      <c r="C16" s="274"/>
      <c r="D16" s="229">
        <v>6050</v>
      </c>
      <c r="E16" s="430" t="s">
        <v>260</v>
      </c>
      <c r="F16" s="231">
        <v>13500</v>
      </c>
      <c r="G16" s="232"/>
      <c r="I16" s="421"/>
      <c r="J16" s="422"/>
      <c r="K16" s="279"/>
      <c r="L16" s="279"/>
      <c r="M16" s="279"/>
      <c r="N16" s="279"/>
      <c r="O16" s="279"/>
    </row>
    <row r="17" spans="1:7" ht="27.75" customHeight="1">
      <c r="A17" s="198"/>
      <c r="B17" s="221"/>
      <c r="C17" s="222">
        <v>60016</v>
      </c>
      <c r="D17" s="223"/>
      <c r="E17" s="224" t="s">
        <v>86</v>
      </c>
      <c r="F17" s="225">
        <f>SUM(F18:F24)</f>
        <v>5105718</v>
      </c>
      <c r="G17" s="226">
        <f>SUM(G18:G24)</f>
        <v>179242.73</v>
      </c>
    </row>
    <row r="18" spans="1:15" s="233" customFormat="1" ht="35.25" customHeight="1">
      <c r="A18" s="213">
        <v>1</v>
      </c>
      <c r="B18" s="227"/>
      <c r="C18" s="228"/>
      <c r="D18" s="229">
        <v>6050</v>
      </c>
      <c r="E18" s="230" t="s">
        <v>87</v>
      </c>
      <c r="F18" s="231">
        <f>2267036-130000-325000-10600</f>
        <v>1801436</v>
      </c>
      <c r="G18" s="232">
        <v>179242.73</v>
      </c>
      <c r="I18" s="234"/>
      <c r="J18" s="235"/>
      <c r="K18" s="235"/>
      <c r="L18" s="235"/>
      <c r="M18" s="235"/>
      <c r="N18" s="235"/>
      <c r="O18" s="235"/>
    </row>
    <row r="19" spans="1:15" s="233" customFormat="1" ht="26.25" customHeight="1">
      <c r="A19" s="213">
        <v>2</v>
      </c>
      <c r="B19" s="227"/>
      <c r="C19" s="228"/>
      <c r="D19" s="229">
        <v>6050</v>
      </c>
      <c r="E19" s="230" t="s">
        <v>88</v>
      </c>
      <c r="F19" s="231">
        <f>200000-49500</f>
        <v>150500</v>
      </c>
      <c r="G19" s="232">
        <v>0</v>
      </c>
      <c r="J19" s="235"/>
      <c r="K19" s="235"/>
      <c r="L19" s="235"/>
      <c r="M19" s="235"/>
      <c r="N19" s="235"/>
      <c r="O19" s="235"/>
    </row>
    <row r="20" spans="1:15" s="233" customFormat="1" ht="35.25" customHeight="1">
      <c r="A20" s="198">
        <v>3</v>
      </c>
      <c r="B20" s="227"/>
      <c r="C20" s="228"/>
      <c r="D20" s="229">
        <v>6050</v>
      </c>
      <c r="E20" s="230" t="s">
        <v>89</v>
      </c>
      <c r="F20" s="231">
        <f>43000-41500</f>
        <v>1500</v>
      </c>
      <c r="G20" s="232">
        <v>0</v>
      </c>
      <c r="J20" s="235"/>
      <c r="K20" s="235"/>
      <c r="L20" s="235"/>
      <c r="M20" s="235"/>
      <c r="N20" s="235"/>
      <c r="O20" s="235"/>
    </row>
    <row r="21" spans="1:15" s="233" customFormat="1" ht="35.25" customHeight="1">
      <c r="A21" s="198">
        <v>4</v>
      </c>
      <c r="B21" s="227"/>
      <c r="C21" s="228"/>
      <c r="D21" s="229">
        <v>6050</v>
      </c>
      <c r="E21" s="230" t="s">
        <v>210</v>
      </c>
      <c r="F21" s="231">
        <v>106764</v>
      </c>
      <c r="G21" s="232">
        <v>0</v>
      </c>
      <c r="J21" s="391"/>
      <c r="K21" s="235"/>
      <c r="L21" s="235"/>
      <c r="M21" s="235"/>
      <c r="N21" s="235"/>
      <c r="O21" s="235"/>
    </row>
    <row r="22" spans="1:15" s="233" customFormat="1" ht="35.25" customHeight="1">
      <c r="A22" s="198">
        <v>5</v>
      </c>
      <c r="B22" s="227"/>
      <c r="C22" s="228"/>
      <c r="D22" s="229">
        <v>6050</v>
      </c>
      <c r="E22" s="230" t="s">
        <v>222</v>
      </c>
      <c r="F22" s="231">
        <f>9900-429</f>
        <v>9471</v>
      </c>
      <c r="G22" s="232"/>
      <c r="J22" s="235"/>
      <c r="K22" s="235"/>
      <c r="L22" s="235"/>
      <c r="M22" s="235"/>
      <c r="N22" s="235"/>
      <c r="O22" s="235"/>
    </row>
    <row r="23" spans="1:15" s="233" customFormat="1" ht="35.25" customHeight="1">
      <c r="A23" s="198">
        <v>6</v>
      </c>
      <c r="B23" s="227"/>
      <c r="C23" s="228"/>
      <c r="D23" s="229">
        <v>6050</v>
      </c>
      <c r="E23" s="230" t="s">
        <v>223</v>
      </c>
      <c r="F23" s="231">
        <f>4350000-1340000+2074404-1300000-763357</f>
        <v>3021047</v>
      </c>
      <c r="G23" s="232"/>
      <c r="J23" s="391"/>
      <c r="K23" s="235"/>
      <c r="L23" s="235"/>
      <c r="M23" s="235"/>
      <c r="N23" s="235"/>
      <c r="O23" s="235"/>
    </row>
    <row r="24" spans="1:15" s="233" customFormat="1" ht="29.25" customHeight="1">
      <c r="A24" s="198">
        <v>7</v>
      </c>
      <c r="B24" s="227"/>
      <c r="C24" s="228"/>
      <c r="D24" s="229">
        <v>6060</v>
      </c>
      <c r="E24" s="230" t="s">
        <v>90</v>
      </c>
      <c r="F24" s="231">
        <v>15000</v>
      </c>
      <c r="G24" s="232">
        <v>0</v>
      </c>
      <c r="J24" s="391"/>
      <c r="K24" s="235"/>
      <c r="L24" s="235"/>
      <c r="M24" s="235"/>
      <c r="N24" s="235"/>
      <c r="O24" s="235"/>
    </row>
    <row r="25" spans="1:7" ht="27" customHeight="1">
      <c r="A25" s="236"/>
      <c r="B25" s="214">
        <v>700</v>
      </c>
      <c r="C25" s="214"/>
      <c r="D25" s="215"/>
      <c r="E25" s="237" t="s">
        <v>91</v>
      </c>
      <c r="F25" s="238">
        <f>F26+F28</f>
        <v>2346693.8899999997</v>
      </c>
      <c r="G25" s="239">
        <f>G26+G28</f>
        <v>634944.51</v>
      </c>
    </row>
    <row r="26" spans="1:7" ht="27" customHeight="1">
      <c r="A26" s="213"/>
      <c r="B26" s="240"/>
      <c r="C26" s="241">
        <v>70005</v>
      </c>
      <c r="D26" s="223"/>
      <c r="E26" s="224" t="s">
        <v>92</v>
      </c>
      <c r="F26" s="225">
        <f>SUM(F27:F27)</f>
        <v>816005</v>
      </c>
      <c r="G26" s="226">
        <f>SUM(G27:G27)</f>
        <v>0</v>
      </c>
    </row>
    <row r="27" spans="1:7" ht="29.25" customHeight="1">
      <c r="A27" s="213">
        <v>8</v>
      </c>
      <c r="B27" s="242"/>
      <c r="C27" s="243"/>
      <c r="D27" s="229">
        <v>6060</v>
      </c>
      <c r="E27" s="230" t="s">
        <v>93</v>
      </c>
      <c r="F27" s="244">
        <f>1118622+137000+50000-570000+5483-12200+82600-15500+20000</f>
        <v>816005</v>
      </c>
      <c r="G27" s="245">
        <v>0</v>
      </c>
    </row>
    <row r="28" spans="1:7" ht="24.75" customHeight="1">
      <c r="A28" s="213"/>
      <c r="B28" s="246"/>
      <c r="C28" s="247">
        <v>70095</v>
      </c>
      <c r="D28" s="248"/>
      <c r="E28" s="224" t="s">
        <v>94</v>
      </c>
      <c r="F28" s="225">
        <f>SUM(F29:F29)</f>
        <v>1530688.89</v>
      </c>
      <c r="G28" s="226">
        <f>SUM(G29:G29)</f>
        <v>634944.51</v>
      </c>
    </row>
    <row r="29" spans="1:7" ht="72.75" customHeight="1">
      <c r="A29" s="213">
        <v>9</v>
      </c>
      <c r="B29" s="246"/>
      <c r="C29" s="221"/>
      <c r="D29" s="213">
        <v>6010</v>
      </c>
      <c r="E29" s="249" t="s">
        <v>95</v>
      </c>
      <c r="F29" s="244">
        <v>1530688.89</v>
      </c>
      <c r="G29" s="245">
        <v>634944.51</v>
      </c>
    </row>
    <row r="30" spans="1:7" ht="24.75" customHeight="1">
      <c r="A30" s="250"/>
      <c r="B30" s="214">
        <v>750</v>
      </c>
      <c r="C30" s="214"/>
      <c r="D30" s="215"/>
      <c r="E30" s="251" t="s">
        <v>96</v>
      </c>
      <c r="F30" s="252">
        <f>F31+F35</f>
        <v>249520</v>
      </c>
      <c r="G30" s="239">
        <f>G31+G35</f>
        <v>0</v>
      </c>
    </row>
    <row r="31" spans="1:7" ht="27" customHeight="1">
      <c r="A31" s="213"/>
      <c r="B31" s="254"/>
      <c r="C31" s="247">
        <v>75023</v>
      </c>
      <c r="D31" s="248"/>
      <c r="E31" s="255" t="s">
        <v>97</v>
      </c>
      <c r="F31" s="256">
        <f>SUM(F32:F34)</f>
        <v>229520</v>
      </c>
      <c r="G31" s="257">
        <f>SUM(G32:G34)</f>
        <v>0</v>
      </c>
    </row>
    <row r="32" spans="1:7" ht="27" customHeight="1">
      <c r="A32" s="213">
        <v>10</v>
      </c>
      <c r="B32" s="258"/>
      <c r="C32" s="246"/>
      <c r="D32" s="229">
        <v>6050</v>
      </c>
      <c r="E32" s="259" t="s">
        <v>98</v>
      </c>
      <c r="F32" s="260">
        <f>60000+13000+9500</f>
        <v>82500</v>
      </c>
      <c r="G32" s="245">
        <v>0</v>
      </c>
    </row>
    <row r="33" spans="1:7" ht="41.25" customHeight="1">
      <c r="A33" s="213">
        <v>11</v>
      </c>
      <c r="B33" s="258"/>
      <c r="C33" s="246"/>
      <c r="D33" s="229">
        <v>6050</v>
      </c>
      <c r="E33" s="259" t="s">
        <v>99</v>
      </c>
      <c r="F33" s="260">
        <f>40000-2480</f>
        <v>37520</v>
      </c>
      <c r="G33" s="245"/>
    </row>
    <row r="34" spans="1:7" ht="25.5" customHeight="1">
      <c r="A34" s="213">
        <v>12</v>
      </c>
      <c r="B34" s="258"/>
      <c r="C34" s="246"/>
      <c r="D34" s="229">
        <v>6060</v>
      </c>
      <c r="E34" s="259" t="s">
        <v>100</v>
      </c>
      <c r="F34" s="260">
        <f>150000-100000+81800+9000-31300</f>
        <v>109500</v>
      </c>
      <c r="G34" s="245">
        <v>0</v>
      </c>
    </row>
    <row r="35" spans="1:15" s="291" customFormat="1" ht="25.5" customHeight="1">
      <c r="A35" s="263"/>
      <c r="B35" s="258"/>
      <c r="C35" s="247">
        <v>75095</v>
      </c>
      <c r="D35" s="263"/>
      <c r="E35" s="392" t="s">
        <v>234</v>
      </c>
      <c r="F35" s="226">
        <f>F36</f>
        <v>20000</v>
      </c>
      <c r="G35" s="226">
        <f>G36</f>
        <v>0</v>
      </c>
      <c r="J35" s="292"/>
      <c r="K35" s="292"/>
      <c r="L35" s="292"/>
      <c r="M35" s="292"/>
      <c r="N35" s="292"/>
      <c r="O35" s="292"/>
    </row>
    <row r="36" spans="1:7" ht="51" customHeight="1">
      <c r="A36" s="213">
        <v>13</v>
      </c>
      <c r="B36" s="258"/>
      <c r="C36" s="247"/>
      <c r="D36" s="213">
        <v>6050</v>
      </c>
      <c r="E36" s="416" t="s">
        <v>238</v>
      </c>
      <c r="F36" s="245">
        <v>20000</v>
      </c>
      <c r="G36" s="245"/>
    </row>
    <row r="37" spans="1:7" ht="30" customHeight="1">
      <c r="A37" s="213"/>
      <c r="B37" s="214">
        <v>754</v>
      </c>
      <c r="C37" s="214"/>
      <c r="D37" s="250"/>
      <c r="E37" s="261" t="s">
        <v>101</v>
      </c>
      <c r="F37" s="238">
        <f>F38+F41</f>
        <v>43212</v>
      </c>
      <c r="G37" s="239">
        <f>G38+G41</f>
        <v>0</v>
      </c>
    </row>
    <row r="38" spans="1:7" ht="28.5" customHeight="1">
      <c r="A38" s="213"/>
      <c r="B38" s="262"/>
      <c r="C38" s="240">
        <v>75412</v>
      </c>
      <c r="D38" s="263"/>
      <c r="E38" s="264" t="s">
        <v>102</v>
      </c>
      <c r="F38" s="225">
        <f>F39+F40</f>
        <v>24212</v>
      </c>
      <c r="G38" s="226">
        <f>G39</f>
        <v>0</v>
      </c>
    </row>
    <row r="39" spans="1:7" ht="26.25" customHeight="1">
      <c r="A39" s="213">
        <v>14</v>
      </c>
      <c r="B39" s="265"/>
      <c r="C39" s="266"/>
      <c r="D39" s="229">
        <v>6060</v>
      </c>
      <c r="E39" s="230" t="s">
        <v>103</v>
      </c>
      <c r="F39" s="244">
        <f>6000-1788</f>
        <v>4212</v>
      </c>
      <c r="G39" s="245">
        <v>0</v>
      </c>
    </row>
    <row r="40" spans="1:7" ht="33.75" customHeight="1">
      <c r="A40" s="213">
        <v>15</v>
      </c>
      <c r="B40" s="265"/>
      <c r="C40" s="242"/>
      <c r="D40" s="213">
        <v>6230</v>
      </c>
      <c r="E40" s="267" t="s">
        <v>104</v>
      </c>
      <c r="F40" s="268">
        <v>20000</v>
      </c>
      <c r="G40" s="269">
        <v>0</v>
      </c>
    </row>
    <row r="41" spans="1:7" ht="26.25" customHeight="1">
      <c r="A41" s="213"/>
      <c r="B41" s="262"/>
      <c r="C41" s="247">
        <v>75414</v>
      </c>
      <c r="D41" s="263"/>
      <c r="E41" s="264" t="s">
        <v>105</v>
      </c>
      <c r="F41" s="256">
        <f>SUM(F42)</f>
        <v>19000</v>
      </c>
      <c r="G41" s="257">
        <f>SUM(G42)</f>
        <v>0</v>
      </c>
    </row>
    <row r="42" spans="1:7" ht="29.25" customHeight="1">
      <c r="A42" s="213">
        <v>16</v>
      </c>
      <c r="B42" s="242"/>
      <c r="C42" s="270"/>
      <c r="D42" s="271">
        <v>6060</v>
      </c>
      <c r="E42" s="230" t="s">
        <v>103</v>
      </c>
      <c r="F42" s="231">
        <v>19000</v>
      </c>
      <c r="G42" s="232">
        <v>0</v>
      </c>
    </row>
    <row r="43" spans="1:7" ht="25.5" customHeight="1">
      <c r="A43" s="213"/>
      <c r="B43" s="214">
        <v>758</v>
      </c>
      <c r="C43" s="272"/>
      <c r="D43" s="215"/>
      <c r="E43" s="237" t="s">
        <v>106</v>
      </c>
      <c r="F43" s="238">
        <f>F44</f>
        <v>483872.66000000003</v>
      </c>
      <c r="G43" s="239">
        <f>G44</f>
        <v>356000</v>
      </c>
    </row>
    <row r="44" spans="1:7" ht="27.75" customHeight="1">
      <c r="A44" s="213"/>
      <c r="B44" s="273"/>
      <c r="C44" s="247">
        <v>75818</v>
      </c>
      <c r="D44" s="223"/>
      <c r="E44" s="255" t="s">
        <v>107</v>
      </c>
      <c r="F44" s="256">
        <f>F45</f>
        <v>483872.66000000003</v>
      </c>
      <c r="G44" s="257">
        <f>G45</f>
        <v>356000</v>
      </c>
    </row>
    <row r="45" spans="1:7" ht="33.75" customHeight="1">
      <c r="A45" s="213"/>
      <c r="B45" s="265"/>
      <c r="C45" s="274"/>
      <c r="D45" s="229">
        <v>6800</v>
      </c>
      <c r="E45" s="275" t="s">
        <v>14</v>
      </c>
      <c r="F45" s="449">
        <f>800000-40000-10000-250000-130000-70000-80000+105000-34000-8979-125000-15000-40000-20000-8500+20151.66+200000+190200</f>
        <v>483872.66000000003</v>
      </c>
      <c r="G45" s="450">
        <f>200000+156000</f>
        <v>356000</v>
      </c>
    </row>
    <row r="46" spans="1:7" ht="24.75" customHeight="1">
      <c r="A46" s="198"/>
      <c r="B46" s="214">
        <v>801</v>
      </c>
      <c r="C46" s="270"/>
      <c r="D46" s="271"/>
      <c r="E46" s="276" t="s">
        <v>108</v>
      </c>
      <c r="F46" s="252">
        <f>F66+F54+F47+F68</f>
        <v>2256379</v>
      </c>
      <c r="G46" s="253">
        <f>G66+G47+G68</f>
        <v>0</v>
      </c>
    </row>
    <row r="47" spans="1:7" ht="24.75" customHeight="1">
      <c r="A47" s="198"/>
      <c r="B47" s="265"/>
      <c r="C47" s="240">
        <v>80101</v>
      </c>
      <c r="D47" s="248"/>
      <c r="E47" s="255" t="s">
        <v>109</v>
      </c>
      <c r="F47" s="256">
        <f>SUM(F48:F53)</f>
        <v>967260</v>
      </c>
      <c r="G47" s="257">
        <f>G48</f>
        <v>0</v>
      </c>
    </row>
    <row r="48" spans="1:7" ht="27.75" customHeight="1">
      <c r="A48" s="198">
        <v>17</v>
      </c>
      <c r="B48" s="265"/>
      <c r="C48" s="266"/>
      <c r="D48" s="229">
        <v>6050</v>
      </c>
      <c r="E48" s="275" t="s">
        <v>110</v>
      </c>
      <c r="F48" s="268">
        <v>800000</v>
      </c>
      <c r="G48" s="269">
        <v>0</v>
      </c>
    </row>
    <row r="49" spans="1:7" ht="29.25" customHeight="1">
      <c r="A49" s="198">
        <v>18</v>
      </c>
      <c r="B49" s="265"/>
      <c r="C49" s="242"/>
      <c r="D49" s="229">
        <v>6050</v>
      </c>
      <c r="E49" s="275" t="s">
        <v>111</v>
      </c>
      <c r="F49" s="268">
        <v>9000</v>
      </c>
      <c r="G49" s="269">
        <v>0</v>
      </c>
    </row>
    <row r="50" spans="1:7" ht="30.75" customHeight="1">
      <c r="A50" s="198">
        <v>19</v>
      </c>
      <c r="B50" s="265"/>
      <c r="C50" s="242"/>
      <c r="D50" s="229">
        <v>6050</v>
      </c>
      <c r="E50" s="275" t="s">
        <v>112</v>
      </c>
      <c r="F50" s="268">
        <v>6000</v>
      </c>
      <c r="G50" s="269">
        <v>0</v>
      </c>
    </row>
    <row r="51" spans="1:7" ht="30.75" customHeight="1">
      <c r="A51" s="198">
        <v>20</v>
      </c>
      <c r="B51" s="265"/>
      <c r="C51" s="242"/>
      <c r="D51" s="229">
        <v>6050</v>
      </c>
      <c r="E51" s="275" t="s">
        <v>113</v>
      </c>
      <c r="F51" s="268">
        <v>140000</v>
      </c>
      <c r="G51" s="269"/>
    </row>
    <row r="52" spans="1:7" ht="30.75" customHeight="1">
      <c r="A52" s="198">
        <v>21</v>
      </c>
      <c r="B52" s="265"/>
      <c r="C52" s="242"/>
      <c r="D52" s="229">
        <v>6060</v>
      </c>
      <c r="E52" s="275" t="s">
        <v>114</v>
      </c>
      <c r="F52" s="268">
        <v>5760</v>
      </c>
      <c r="G52" s="269"/>
    </row>
    <row r="53" spans="1:7" ht="24.75" customHeight="1">
      <c r="A53" s="198">
        <v>22</v>
      </c>
      <c r="B53" s="265"/>
      <c r="C53" s="274"/>
      <c r="D53" s="229">
        <v>6060</v>
      </c>
      <c r="E53" s="275" t="s">
        <v>115</v>
      </c>
      <c r="F53" s="268">
        <v>6500</v>
      </c>
      <c r="G53" s="269">
        <v>0</v>
      </c>
    </row>
    <row r="54" spans="1:7" ht="24.75" customHeight="1">
      <c r="A54" s="198"/>
      <c r="B54" s="265"/>
      <c r="C54" s="246">
        <v>80104</v>
      </c>
      <c r="D54" s="223"/>
      <c r="E54" s="224" t="s">
        <v>116</v>
      </c>
      <c r="F54" s="256">
        <f>SUM(F55:F65)</f>
        <v>114319</v>
      </c>
      <c r="G54" s="257">
        <f>SUM(G59:G65)</f>
        <v>0</v>
      </c>
    </row>
    <row r="55" spans="1:15" s="278" customFormat="1" ht="35.25" customHeight="1">
      <c r="A55" s="198">
        <v>23</v>
      </c>
      <c r="B55" s="265"/>
      <c r="C55" s="266"/>
      <c r="D55" s="229">
        <v>6050</v>
      </c>
      <c r="E55" s="277" t="s">
        <v>224</v>
      </c>
      <c r="F55" s="268">
        <v>9300</v>
      </c>
      <c r="G55" s="269"/>
      <c r="J55" s="279"/>
      <c r="K55" s="279"/>
      <c r="L55" s="279"/>
      <c r="M55" s="279"/>
      <c r="N55" s="279"/>
      <c r="O55" s="279"/>
    </row>
    <row r="56" spans="1:15" s="278" customFormat="1" ht="35.25" customHeight="1">
      <c r="A56" s="198">
        <v>24</v>
      </c>
      <c r="B56" s="265"/>
      <c r="C56" s="242"/>
      <c r="D56" s="229">
        <v>6050</v>
      </c>
      <c r="E56" s="277" t="s">
        <v>214</v>
      </c>
      <c r="F56" s="268">
        <v>27000</v>
      </c>
      <c r="G56" s="269"/>
      <c r="J56" s="279"/>
      <c r="K56" s="279"/>
      <c r="L56" s="279"/>
      <c r="M56" s="279"/>
      <c r="N56" s="279"/>
      <c r="O56" s="279"/>
    </row>
    <row r="57" spans="1:15" s="352" customFormat="1" ht="35.25" customHeight="1">
      <c r="A57" s="198">
        <v>25</v>
      </c>
      <c r="B57" s="265"/>
      <c r="C57" s="242"/>
      <c r="D57" s="229">
        <v>6050</v>
      </c>
      <c r="E57" s="275" t="s">
        <v>212</v>
      </c>
      <c r="F57" s="268">
        <v>18914</v>
      </c>
      <c r="G57" s="269"/>
      <c r="J57" s="354"/>
      <c r="K57" s="354"/>
      <c r="L57" s="354"/>
      <c r="M57" s="354"/>
      <c r="N57" s="354"/>
      <c r="O57" s="354"/>
    </row>
    <row r="58" spans="1:15" s="352" customFormat="1" ht="35.25" customHeight="1">
      <c r="A58" s="198"/>
      <c r="B58" s="265"/>
      <c r="C58" s="242"/>
      <c r="D58" s="229">
        <v>6050</v>
      </c>
      <c r="E58" s="275" t="s">
        <v>255</v>
      </c>
      <c r="F58" s="268">
        <v>15300</v>
      </c>
      <c r="G58" s="269"/>
      <c r="J58" s="354"/>
      <c r="K58" s="354"/>
      <c r="L58" s="354"/>
      <c r="M58" s="354"/>
      <c r="N58" s="354"/>
      <c r="O58" s="354"/>
    </row>
    <row r="59" spans="1:7" ht="24.75" customHeight="1">
      <c r="A59" s="198">
        <v>26</v>
      </c>
      <c r="B59" s="265"/>
      <c r="C59" s="242"/>
      <c r="D59" s="229">
        <v>6060</v>
      </c>
      <c r="E59" s="275" t="s">
        <v>117</v>
      </c>
      <c r="F59" s="268">
        <f>5000-700</f>
        <v>4300</v>
      </c>
      <c r="G59" s="269">
        <v>0</v>
      </c>
    </row>
    <row r="60" spans="1:7" ht="28.5" customHeight="1">
      <c r="A60" s="198">
        <v>27</v>
      </c>
      <c r="B60" s="265"/>
      <c r="C60" s="242"/>
      <c r="D60" s="229">
        <v>6060</v>
      </c>
      <c r="E60" s="275" t="s">
        <v>118</v>
      </c>
      <c r="F60" s="268">
        <f>5000-100</f>
        <v>4900</v>
      </c>
      <c r="G60" s="269">
        <v>0</v>
      </c>
    </row>
    <row r="61" spans="1:7" ht="24.75" customHeight="1">
      <c r="A61" s="198">
        <v>28</v>
      </c>
      <c r="B61" s="265"/>
      <c r="C61" s="242"/>
      <c r="D61" s="229">
        <v>6060</v>
      </c>
      <c r="E61" s="275" t="s">
        <v>119</v>
      </c>
      <c r="F61" s="268">
        <v>8000</v>
      </c>
      <c r="G61" s="269">
        <v>0</v>
      </c>
    </row>
    <row r="62" spans="1:7" ht="29.25" customHeight="1">
      <c r="A62" s="198">
        <v>29</v>
      </c>
      <c r="B62" s="265"/>
      <c r="C62" s="242"/>
      <c r="D62" s="229">
        <v>6060</v>
      </c>
      <c r="E62" s="275" t="s">
        <v>120</v>
      </c>
      <c r="F62" s="268">
        <f>8000-2895</f>
        <v>5105</v>
      </c>
      <c r="G62" s="269">
        <v>0</v>
      </c>
    </row>
    <row r="63" spans="1:7" ht="29.25" customHeight="1">
      <c r="A63" s="198">
        <v>30</v>
      </c>
      <c r="B63" s="265"/>
      <c r="C63" s="242"/>
      <c r="D63" s="229">
        <v>6060</v>
      </c>
      <c r="E63" s="275" t="s">
        <v>121</v>
      </c>
      <c r="F63" s="268">
        <v>9000</v>
      </c>
      <c r="G63" s="269">
        <v>0</v>
      </c>
    </row>
    <row r="64" spans="1:7" ht="29.25" customHeight="1">
      <c r="A64" s="198">
        <v>31</v>
      </c>
      <c r="B64" s="265"/>
      <c r="C64" s="242"/>
      <c r="D64" s="229">
        <v>6060</v>
      </c>
      <c r="E64" s="275" t="s">
        <v>208</v>
      </c>
      <c r="F64" s="268">
        <v>4500</v>
      </c>
      <c r="G64" s="269"/>
    </row>
    <row r="65" spans="1:7" ht="30.75" customHeight="1">
      <c r="A65" s="198">
        <v>32</v>
      </c>
      <c r="B65" s="265"/>
      <c r="C65" s="274"/>
      <c r="D65" s="229">
        <v>6060</v>
      </c>
      <c r="E65" s="275" t="s">
        <v>122</v>
      </c>
      <c r="F65" s="268">
        <v>8000</v>
      </c>
      <c r="G65" s="269">
        <v>0</v>
      </c>
    </row>
    <row r="66" spans="1:7" ht="25.5" customHeight="1">
      <c r="A66" s="213"/>
      <c r="B66" s="265"/>
      <c r="C66" s="222">
        <v>80110</v>
      </c>
      <c r="D66" s="223"/>
      <c r="E66" s="224" t="s">
        <v>123</v>
      </c>
      <c r="F66" s="225">
        <f>F67</f>
        <v>1158000</v>
      </c>
      <c r="G66" s="226">
        <f>G67</f>
        <v>0</v>
      </c>
    </row>
    <row r="67" spans="1:7" ht="24" customHeight="1">
      <c r="A67" s="213">
        <v>33</v>
      </c>
      <c r="B67" s="265"/>
      <c r="C67" s="242"/>
      <c r="D67" s="280">
        <v>6050</v>
      </c>
      <c r="E67" s="249" t="s">
        <v>124</v>
      </c>
      <c r="F67" s="244">
        <f>1240000-82000</f>
        <v>1158000</v>
      </c>
      <c r="G67" s="245">
        <v>0</v>
      </c>
    </row>
    <row r="68" spans="1:7" ht="27" customHeight="1">
      <c r="A68" s="213"/>
      <c r="B68" s="265"/>
      <c r="C68" s="240">
        <v>80148</v>
      </c>
      <c r="D68" s="223"/>
      <c r="E68" s="224" t="s">
        <v>125</v>
      </c>
      <c r="F68" s="225">
        <f>SUM(F69:F71)</f>
        <v>16800</v>
      </c>
      <c r="G68" s="226">
        <f>SUM(G69:G71)</f>
        <v>0</v>
      </c>
    </row>
    <row r="69" spans="1:7" ht="22.5" customHeight="1">
      <c r="A69" s="213">
        <v>34</v>
      </c>
      <c r="B69" s="265"/>
      <c r="C69" s="240"/>
      <c r="D69" s="229">
        <v>6060</v>
      </c>
      <c r="E69" s="230" t="s">
        <v>126</v>
      </c>
      <c r="F69" s="244">
        <v>4300</v>
      </c>
      <c r="G69" s="245">
        <v>0</v>
      </c>
    </row>
    <row r="70" spans="1:7" ht="24" customHeight="1">
      <c r="A70" s="213">
        <v>35</v>
      </c>
      <c r="B70" s="265"/>
      <c r="C70" s="246"/>
      <c r="D70" s="229">
        <v>6060</v>
      </c>
      <c r="E70" s="230" t="s">
        <v>127</v>
      </c>
      <c r="F70" s="244">
        <v>7000</v>
      </c>
      <c r="G70" s="245">
        <v>0</v>
      </c>
    </row>
    <row r="71" spans="1:7" ht="21" customHeight="1">
      <c r="A71" s="213">
        <v>36</v>
      </c>
      <c r="B71" s="265"/>
      <c r="C71" s="242"/>
      <c r="D71" s="281">
        <v>6060</v>
      </c>
      <c r="E71" s="230" t="s">
        <v>128</v>
      </c>
      <c r="F71" s="244">
        <v>5500</v>
      </c>
      <c r="G71" s="245">
        <v>0</v>
      </c>
    </row>
    <row r="72" spans="1:7" ht="21" customHeight="1">
      <c r="A72" s="213"/>
      <c r="B72" s="265">
        <v>852</v>
      </c>
      <c r="C72" s="242"/>
      <c r="D72" s="435"/>
      <c r="E72" s="237" t="s">
        <v>193</v>
      </c>
      <c r="F72" s="238">
        <f>F73</f>
        <v>22900</v>
      </c>
      <c r="G72" s="239"/>
    </row>
    <row r="73" spans="1:7" ht="21" customHeight="1">
      <c r="A73" s="213"/>
      <c r="B73" s="265"/>
      <c r="C73" s="355">
        <v>85219</v>
      </c>
      <c r="D73" s="281"/>
      <c r="E73" s="230" t="s">
        <v>294</v>
      </c>
      <c r="F73" s="244">
        <f>F74+F75</f>
        <v>22900</v>
      </c>
      <c r="G73" s="245"/>
    </row>
    <row r="74" spans="1:7" ht="31.5" customHeight="1">
      <c r="A74" s="213">
        <v>37</v>
      </c>
      <c r="B74" s="265"/>
      <c r="C74" s="242"/>
      <c r="D74" s="281">
        <v>6050</v>
      </c>
      <c r="E74" s="230" t="s">
        <v>293</v>
      </c>
      <c r="F74" s="244">
        <v>12500</v>
      </c>
      <c r="G74" s="245"/>
    </row>
    <row r="75" spans="1:7" ht="31.5" customHeight="1">
      <c r="A75" s="213"/>
      <c r="B75" s="265"/>
      <c r="C75" s="242"/>
      <c r="D75" s="454">
        <v>6060</v>
      </c>
      <c r="E75" s="455" t="s">
        <v>338</v>
      </c>
      <c r="F75" s="447">
        <v>10400</v>
      </c>
      <c r="G75" s="448"/>
    </row>
    <row r="76" spans="1:7" ht="29.25" customHeight="1">
      <c r="A76" s="213"/>
      <c r="B76" s="214">
        <v>853</v>
      </c>
      <c r="C76" s="355"/>
      <c r="D76" s="322"/>
      <c r="E76" s="237" t="s">
        <v>129</v>
      </c>
      <c r="F76" s="238">
        <f>F77</f>
        <v>331002</v>
      </c>
      <c r="G76" s="239">
        <f>G77</f>
        <v>0</v>
      </c>
    </row>
    <row r="77" spans="1:7" ht="21.75" customHeight="1">
      <c r="A77" s="271"/>
      <c r="B77" s="272"/>
      <c r="C77" s="241">
        <v>85395</v>
      </c>
      <c r="D77" s="282"/>
      <c r="E77" s="224" t="s">
        <v>130</v>
      </c>
      <c r="F77" s="225">
        <f>SUM(F78:F79)</f>
        <v>331002</v>
      </c>
      <c r="G77" s="226">
        <f>G78</f>
        <v>0</v>
      </c>
    </row>
    <row r="78" spans="1:7" ht="30" customHeight="1">
      <c r="A78" s="187">
        <v>38</v>
      </c>
      <c r="B78" s="283"/>
      <c r="C78" s="221"/>
      <c r="D78" s="213">
        <v>6010</v>
      </c>
      <c r="E78" s="249" t="s">
        <v>131</v>
      </c>
      <c r="F78" s="231">
        <f>250000+1002</f>
        <v>251002</v>
      </c>
      <c r="G78" s="232">
        <v>0</v>
      </c>
    </row>
    <row r="79" spans="1:7" ht="40.5" customHeight="1">
      <c r="A79" s="187">
        <v>39</v>
      </c>
      <c r="B79" s="283"/>
      <c r="C79" s="221"/>
      <c r="D79" s="271">
        <v>6050</v>
      </c>
      <c r="E79" s="249" t="s">
        <v>316</v>
      </c>
      <c r="F79" s="231">
        <v>80000</v>
      </c>
      <c r="G79" s="232"/>
    </row>
    <row r="80" spans="1:7" ht="30" customHeight="1">
      <c r="A80" s="250"/>
      <c r="B80" s="214">
        <v>900</v>
      </c>
      <c r="C80" s="214"/>
      <c r="D80" s="215"/>
      <c r="E80" s="237" t="s">
        <v>132</v>
      </c>
      <c r="F80" s="238">
        <f>F81+F86+F84+F91</f>
        <v>27018211.07</v>
      </c>
      <c r="G80" s="239">
        <f>G81+G86+G84+G91</f>
        <v>6244859.86</v>
      </c>
    </row>
    <row r="81" spans="1:7" ht="27" customHeight="1">
      <c r="A81" s="250"/>
      <c r="B81" s="283"/>
      <c r="C81" s="246">
        <v>90002</v>
      </c>
      <c r="D81" s="248"/>
      <c r="E81" s="224" t="s">
        <v>133</v>
      </c>
      <c r="F81" s="225">
        <f>SUM(F82:F83)</f>
        <v>42000</v>
      </c>
      <c r="G81" s="226">
        <f>SUM(G82:G83)</f>
        <v>42000</v>
      </c>
    </row>
    <row r="82" spans="1:7" ht="21" customHeight="1">
      <c r="A82" s="602">
        <v>40</v>
      </c>
      <c r="B82" s="283"/>
      <c r="C82" s="272"/>
      <c r="D82" s="229">
        <v>6220</v>
      </c>
      <c r="E82" s="604" t="s">
        <v>134</v>
      </c>
      <c r="F82" s="285">
        <v>12000</v>
      </c>
      <c r="G82" s="286">
        <v>12000</v>
      </c>
    </row>
    <row r="83" spans="1:7" ht="18" customHeight="1">
      <c r="A83" s="603"/>
      <c r="B83" s="283"/>
      <c r="C83" s="287"/>
      <c r="D83" s="229">
        <v>6230</v>
      </c>
      <c r="E83" s="605"/>
      <c r="F83" s="285">
        <v>30000</v>
      </c>
      <c r="G83" s="286">
        <v>30000</v>
      </c>
    </row>
    <row r="84" spans="1:15" s="291" customFormat="1" ht="21.75" customHeight="1">
      <c r="A84" s="288"/>
      <c r="B84" s="246"/>
      <c r="C84" s="247">
        <v>90013</v>
      </c>
      <c r="D84" s="223"/>
      <c r="E84" s="384" t="s">
        <v>201</v>
      </c>
      <c r="F84" s="289">
        <f>F85</f>
        <v>57656</v>
      </c>
      <c r="G84" s="290">
        <f>G85</f>
        <v>0</v>
      </c>
      <c r="J84" s="292"/>
      <c r="K84" s="292"/>
      <c r="L84" s="292"/>
      <c r="M84" s="292"/>
      <c r="N84" s="292"/>
      <c r="O84" s="292"/>
    </row>
    <row r="85" spans="1:7" ht="36" customHeight="1">
      <c r="A85" s="198">
        <v>41</v>
      </c>
      <c r="B85" s="283"/>
      <c r="C85" s="283"/>
      <c r="D85" s="229">
        <v>6050</v>
      </c>
      <c r="E85" s="293" t="s">
        <v>135</v>
      </c>
      <c r="F85" s="285">
        <f>58000-344</f>
        <v>57656</v>
      </c>
      <c r="G85" s="286"/>
    </row>
    <row r="86" spans="1:7" ht="27.75" customHeight="1">
      <c r="A86" s="250"/>
      <c r="B86" s="283"/>
      <c r="C86" s="240">
        <v>90015</v>
      </c>
      <c r="D86" s="248"/>
      <c r="E86" s="224" t="s">
        <v>136</v>
      </c>
      <c r="F86" s="294">
        <f>SUM(F87:F90)</f>
        <v>93700</v>
      </c>
      <c r="G86" s="294">
        <f>SUM(G87:G90)</f>
        <v>0</v>
      </c>
    </row>
    <row r="87" spans="1:15" s="278" customFormat="1" ht="27.75" customHeight="1">
      <c r="A87" s="213">
        <v>42</v>
      </c>
      <c r="B87" s="265"/>
      <c r="C87" s="266"/>
      <c r="D87" s="229">
        <v>6050</v>
      </c>
      <c r="E87" s="230" t="s">
        <v>137</v>
      </c>
      <c r="F87" s="244">
        <v>10000</v>
      </c>
      <c r="G87" s="245">
        <v>0</v>
      </c>
      <c r="J87" s="279"/>
      <c r="K87" s="279"/>
      <c r="L87" s="279"/>
      <c r="M87" s="279"/>
      <c r="N87" s="279"/>
      <c r="O87" s="279"/>
    </row>
    <row r="88" spans="1:15" s="278" customFormat="1" ht="27.75" customHeight="1">
      <c r="A88" s="213"/>
      <c r="B88" s="265"/>
      <c r="C88" s="242"/>
      <c r="D88" s="229">
        <v>6050</v>
      </c>
      <c r="E88" s="230" t="s">
        <v>290</v>
      </c>
      <c r="F88" s="244">
        <v>45200</v>
      </c>
      <c r="G88" s="245"/>
      <c r="J88" s="279"/>
      <c r="K88" s="279"/>
      <c r="L88" s="279"/>
      <c r="M88" s="279"/>
      <c r="N88" s="279"/>
      <c r="O88" s="279"/>
    </row>
    <row r="89" spans="1:7" ht="33" customHeight="1">
      <c r="A89" s="213">
        <v>43</v>
      </c>
      <c r="B89" s="265"/>
      <c r="C89" s="283"/>
      <c r="D89" s="229">
        <v>6050</v>
      </c>
      <c r="E89" s="295" t="s">
        <v>138</v>
      </c>
      <c r="F89" s="285">
        <v>10000</v>
      </c>
      <c r="G89" s="286">
        <v>0</v>
      </c>
    </row>
    <row r="90" spans="1:7" ht="51" customHeight="1">
      <c r="A90" s="213">
        <v>44</v>
      </c>
      <c r="B90" s="265"/>
      <c r="C90" s="283"/>
      <c r="D90" s="229">
        <v>6060</v>
      </c>
      <c r="E90" s="295" t="s">
        <v>314</v>
      </c>
      <c r="F90" s="285">
        <v>28500</v>
      </c>
      <c r="G90" s="286"/>
    </row>
    <row r="91" spans="1:7" ht="26.25" customHeight="1">
      <c r="A91" s="213"/>
      <c r="B91" s="246"/>
      <c r="C91" s="247">
        <v>90095</v>
      </c>
      <c r="D91" s="248"/>
      <c r="E91" s="224" t="s">
        <v>94</v>
      </c>
      <c r="F91" s="225">
        <f>SUM(F92:F121)</f>
        <v>26824855.07</v>
      </c>
      <c r="G91" s="226">
        <f>SUM(G92:G121)</f>
        <v>6202859.86</v>
      </c>
    </row>
    <row r="92" spans="1:15" s="278" customFormat="1" ht="42.75" customHeight="1">
      <c r="A92" s="187">
        <v>45</v>
      </c>
      <c r="B92" s="296"/>
      <c r="C92" s="242"/>
      <c r="D92" s="229">
        <v>6010</v>
      </c>
      <c r="E92" s="259" t="s">
        <v>139</v>
      </c>
      <c r="F92" s="244">
        <f>70000-20024.23</f>
        <v>49975.770000000004</v>
      </c>
      <c r="G92" s="245">
        <f>70000-20024.23</f>
        <v>49975.770000000004</v>
      </c>
      <c r="J92" s="279"/>
      <c r="K92" s="279"/>
      <c r="L92" s="279"/>
      <c r="M92" s="279"/>
      <c r="N92" s="279"/>
      <c r="O92" s="279"/>
    </row>
    <row r="93" spans="1:15" s="278" customFormat="1" ht="33.75" customHeight="1">
      <c r="A93" s="187">
        <v>46</v>
      </c>
      <c r="B93" s="296"/>
      <c r="C93" s="242"/>
      <c r="D93" s="271">
        <v>6010</v>
      </c>
      <c r="E93" s="230" t="s">
        <v>140</v>
      </c>
      <c r="F93" s="244">
        <v>3470000</v>
      </c>
      <c r="G93" s="245">
        <v>3470000</v>
      </c>
      <c r="J93" s="279"/>
      <c r="K93" s="279"/>
      <c r="L93" s="279"/>
      <c r="M93" s="279"/>
      <c r="N93" s="279"/>
      <c r="O93" s="279"/>
    </row>
    <row r="94" spans="1:15" s="278" customFormat="1" ht="36" customHeight="1">
      <c r="A94" s="187">
        <v>47</v>
      </c>
      <c r="B94" s="296"/>
      <c r="C94" s="242"/>
      <c r="D94" s="229">
        <v>6010</v>
      </c>
      <c r="E94" s="230" t="s">
        <v>141</v>
      </c>
      <c r="F94" s="244">
        <v>350000</v>
      </c>
      <c r="G94" s="245">
        <v>350000</v>
      </c>
      <c r="J94" s="279"/>
      <c r="K94" s="279"/>
      <c r="L94" s="279"/>
      <c r="M94" s="279"/>
      <c r="N94" s="279"/>
      <c r="O94" s="279"/>
    </row>
    <row r="95" spans="1:15" s="278" customFormat="1" ht="58.5" customHeight="1">
      <c r="A95" s="187">
        <v>48</v>
      </c>
      <c r="B95" s="296"/>
      <c r="C95" s="242"/>
      <c r="D95" s="229">
        <v>6010</v>
      </c>
      <c r="E95" s="415" t="s">
        <v>142</v>
      </c>
      <c r="F95" s="244">
        <v>10000</v>
      </c>
      <c r="G95" s="245">
        <v>5000</v>
      </c>
      <c r="I95" s="378"/>
      <c r="J95" s="297"/>
      <c r="K95" s="279"/>
      <c r="L95" s="279"/>
      <c r="M95" s="279"/>
      <c r="N95" s="279"/>
      <c r="O95" s="279"/>
    </row>
    <row r="96" spans="1:15" s="278" customFormat="1" ht="54.75" customHeight="1">
      <c r="A96" s="187">
        <v>49</v>
      </c>
      <c r="B96" s="296"/>
      <c r="C96" s="242"/>
      <c r="D96" s="229">
        <v>6010</v>
      </c>
      <c r="E96" s="415" t="s">
        <v>143</v>
      </c>
      <c r="F96" s="244">
        <v>16000</v>
      </c>
      <c r="G96" s="245">
        <v>16000</v>
      </c>
      <c r="I96" s="378"/>
      <c r="J96" s="279"/>
      <c r="K96" s="279"/>
      <c r="L96" s="279"/>
      <c r="M96" s="279"/>
      <c r="N96" s="279"/>
      <c r="O96" s="279"/>
    </row>
    <row r="97" spans="1:15" s="278" customFormat="1" ht="42.75" customHeight="1">
      <c r="A97" s="187">
        <v>50</v>
      </c>
      <c r="B97" s="296"/>
      <c r="C97" s="242"/>
      <c r="D97" s="229">
        <v>6010</v>
      </c>
      <c r="E97" s="415" t="s">
        <v>144</v>
      </c>
      <c r="F97" s="244">
        <f>36000-19669.26</f>
        <v>16330.740000000002</v>
      </c>
      <c r="G97" s="245">
        <f>30000-17903.03</f>
        <v>12096.970000000001</v>
      </c>
      <c r="I97" s="378"/>
      <c r="J97" s="279"/>
      <c r="K97" s="279"/>
      <c r="L97" s="279"/>
      <c r="M97" s="279"/>
      <c r="N97" s="279"/>
      <c r="O97" s="279"/>
    </row>
    <row r="98" spans="1:15" s="278" customFormat="1" ht="42.75" customHeight="1">
      <c r="A98" s="187">
        <v>51</v>
      </c>
      <c r="B98" s="296"/>
      <c r="C98" s="242"/>
      <c r="D98" s="229">
        <v>6010</v>
      </c>
      <c r="E98" s="415" t="s">
        <v>145</v>
      </c>
      <c r="F98" s="244">
        <v>70000</v>
      </c>
      <c r="G98" s="245"/>
      <c r="I98" s="378"/>
      <c r="J98" s="279"/>
      <c r="K98" s="279"/>
      <c r="L98" s="279"/>
      <c r="M98" s="279"/>
      <c r="N98" s="279"/>
      <c r="O98" s="279"/>
    </row>
    <row r="99" spans="1:15" s="278" customFormat="1" ht="42.75" customHeight="1">
      <c r="A99" s="187">
        <v>52</v>
      </c>
      <c r="B99" s="296"/>
      <c r="C99" s="242"/>
      <c r="D99" s="229">
        <v>6010</v>
      </c>
      <c r="E99" s="415" t="s">
        <v>146</v>
      </c>
      <c r="F99" s="244">
        <f>40000-20151.66</f>
        <v>19848.34</v>
      </c>
      <c r="G99" s="245"/>
      <c r="I99" s="378"/>
      <c r="J99" s="279"/>
      <c r="K99" s="279"/>
      <c r="L99" s="279"/>
      <c r="M99" s="279"/>
      <c r="N99" s="279"/>
      <c r="O99" s="279"/>
    </row>
    <row r="100" spans="1:15" s="278" customFormat="1" ht="38.25" customHeight="1">
      <c r="A100" s="187">
        <v>53</v>
      </c>
      <c r="B100" s="296"/>
      <c r="C100" s="242"/>
      <c r="D100" s="229">
        <v>6010</v>
      </c>
      <c r="E100" s="415" t="s">
        <v>147</v>
      </c>
      <c r="F100" s="244">
        <f>10000-958.08</f>
        <v>9041.92</v>
      </c>
      <c r="G100" s="245"/>
      <c r="I100" s="378"/>
      <c r="J100" s="279"/>
      <c r="K100" s="279"/>
      <c r="L100" s="279"/>
      <c r="M100" s="279"/>
      <c r="N100" s="279"/>
      <c r="O100" s="279"/>
    </row>
    <row r="101" spans="1:15" s="278" customFormat="1" ht="36.75" customHeight="1">
      <c r="A101" s="187">
        <v>54</v>
      </c>
      <c r="B101" s="296"/>
      <c r="C101" s="242"/>
      <c r="D101" s="229">
        <v>6010</v>
      </c>
      <c r="E101" s="415" t="s">
        <v>148</v>
      </c>
      <c r="F101" s="244">
        <v>30000</v>
      </c>
      <c r="G101" s="245">
        <v>30000</v>
      </c>
      <c r="I101" s="378"/>
      <c r="J101" s="279"/>
      <c r="K101" s="279"/>
      <c r="L101" s="279"/>
      <c r="M101" s="279"/>
      <c r="N101" s="279"/>
      <c r="O101" s="279"/>
    </row>
    <row r="102" spans="1:15" s="278" customFormat="1" ht="36.75" customHeight="1">
      <c r="A102" s="187">
        <v>55</v>
      </c>
      <c r="B102" s="296"/>
      <c r="C102" s="242"/>
      <c r="D102" s="229">
        <v>6010</v>
      </c>
      <c r="E102" s="300" t="s">
        <v>202</v>
      </c>
      <c r="F102" s="244">
        <v>10000</v>
      </c>
      <c r="G102" s="245">
        <v>3500</v>
      </c>
      <c r="I102" s="378"/>
      <c r="J102" s="279"/>
      <c r="K102" s="279"/>
      <c r="L102" s="279"/>
      <c r="M102" s="279"/>
      <c r="N102" s="279"/>
      <c r="O102" s="279"/>
    </row>
    <row r="103" spans="1:15" s="278" customFormat="1" ht="36.75" customHeight="1">
      <c r="A103" s="187">
        <v>56</v>
      </c>
      <c r="B103" s="296"/>
      <c r="C103" s="242"/>
      <c r="D103" s="229">
        <v>6010</v>
      </c>
      <c r="E103" s="300" t="s">
        <v>203</v>
      </c>
      <c r="F103" s="244">
        <v>170880</v>
      </c>
      <c r="G103" s="245">
        <v>163300</v>
      </c>
      <c r="I103" s="378"/>
      <c r="J103" s="279"/>
      <c r="K103" s="279"/>
      <c r="L103" s="279"/>
      <c r="M103" s="279"/>
      <c r="N103" s="279"/>
      <c r="O103" s="279"/>
    </row>
    <row r="104" spans="1:15" s="278" customFormat="1" ht="36.75" customHeight="1">
      <c r="A104" s="187">
        <v>57</v>
      </c>
      <c r="B104" s="296"/>
      <c r="C104" s="242"/>
      <c r="D104" s="229">
        <v>6050</v>
      </c>
      <c r="E104" s="300" t="s">
        <v>228</v>
      </c>
      <c r="F104" s="447">
        <f>200000-200000</f>
        <v>0</v>
      </c>
      <c r="G104" s="448">
        <f>200000-200000</f>
        <v>0</v>
      </c>
      <c r="I104" s="378"/>
      <c r="J104" s="279"/>
      <c r="K104" s="279"/>
      <c r="L104" s="279"/>
      <c r="M104" s="279"/>
      <c r="N104" s="279"/>
      <c r="O104" s="279"/>
    </row>
    <row r="105" spans="1:15" s="278" customFormat="1" ht="37.5" customHeight="1">
      <c r="A105" s="187">
        <v>58</v>
      </c>
      <c r="B105" s="296"/>
      <c r="C105" s="242"/>
      <c r="D105" s="229">
        <v>6050</v>
      </c>
      <c r="E105" s="230" t="s">
        <v>149</v>
      </c>
      <c r="F105" s="244">
        <f>471500-2700+3060+8979</f>
        <v>480839</v>
      </c>
      <c r="G105" s="245">
        <f>471500-2700</f>
        <v>468800</v>
      </c>
      <c r="J105" s="279"/>
      <c r="K105" s="279"/>
      <c r="L105" s="279"/>
      <c r="M105" s="279"/>
      <c r="N105" s="279"/>
      <c r="O105" s="279"/>
    </row>
    <row r="106" spans="1:15" s="278" customFormat="1" ht="49.5" customHeight="1">
      <c r="A106" s="187">
        <v>59</v>
      </c>
      <c r="B106" s="296"/>
      <c r="C106" s="242"/>
      <c r="D106" s="229">
        <v>6050</v>
      </c>
      <c r="E106" s="230" t="s">
        <v>150</v>
      </c>
      <c r="F106" s="244">
        <f>130000-6700-50000</f>
        <v>73300</v>
      </c>
      <c r="G106" s="245">
        <v>0</v>
      </c>
      <c r="J106" s="279"/>
      <c r="K106" s="279"/>
      <c r="L106" s="279"/>
      <c r="M106" s="279"/>
      <c r="N106" s="279"/>
      <c r="O106" s="279"/>
    </row>
    <row r="107" spans="1:15" s="278" customFormat="1" ht="41.25" customHeight="1">
      <c r="A107" s="187">
        <v>60</v>
      </c>
      <c r="B107" s="296"/>
      <c r="C107" s="242"/>
      <c r="D107" s="229">
        <v>6050</v>
      </c>
      <c r="E107" s="230" t="s">
        <v>151</v>
      </c>
      <c r="F107" s="244">
        <v>47000</v>
      </c>
      <c r="G107" s="245">
        <v>47000</v>
      </c>
      <c r="J107" s="297"/>
      <c r="K107" s="297"/>
      <c r="L107" s="297"/>
      <c r="M107" s="279"/>
      <c r="N107" s="279"/>
      <c r="O107" s="279"/>
    </row>
    <row r="108" spans="1:12" ht="30.75" customHeight="1">
      <c r="A108" s="187">
        <v>61</v>
      </c>
      <c r="B108" s="298"/>
      <c r="C108" s="246"/>
      <c r="D108" s="229">
        <v>6050</v>
      </c>
      <c r="E108" s="230" t="s">
        <v>152</v>
      </c>
      <c r="F108" s="244">
        <f>1825000-8300+18450</f>
        <v>1835150</v>
      </c>
      <c r="G108" s="245">
        <v>0</v>
      </c>
      <c r="J108" s="299"/>
      <c r="K108" s="299"/>
      <c r="L108" s="299"/>
    </row>
    <row r="109" spans="1:12" ht="37.5" customHeight="1">
      <c r="A109" s="187">
        <v>62</v>
      </c>
      <c r="B109" s="298"/>
      <c r="C109" s="246"/>
      <c r="D109" s="229">
        <v>6050</v>
      </c>
      <c r="E109" s="230" t="s">
        <v>153</v>
      </c>
      <c r="F109" s="244">
        <f>200000-3047</f>
        <v>196953</v>
      </c>
      <c r="G109" s="245">
        <v>0</v>
      </c>
      <c r="J109" s="299"/>
      <c r="K109" s="299"/>
      <c r="L109" s="299"/>
    </row>
    <row r="110" spans="1:12" ht="34.5" customHeight="1">
      <c r="A110" s="187">
        <v>63</v>
      </c>
      <c r="B110" s="298"/>
      <c r="C110" s="246"/>
      <c r="D110" s="229">
        <v>6050</v>
      </c>
      <c r="E110" s="230" t="s">
        <v>154</v>
      </c>
      <c r="F110" s="244">
        <v>35000</v>
      </c>
      <c r="G110" s="245">
        <v>35000</v>
      </c>
      <c r="J110" s="299"/>
      <c r="K110" s="299"/>
      <c r="L110" s="299"/>
    </row>
    <row r="111" spans="1:12" ht="28.5" customHeight="1">
      <c r="A111" s="187">
        <v>64</v>
      </c>
      <c r="B111" s="298"/>
      <c r="C111" s="246"/>
      <c r="D111" s="229">
        <v>6050</v>
      </c>
      <c r="E111" s="230" t="s">
        <v>155</v>
      </c>
      <c r="F111" s="244">
        <f>78800-7515+7515-65</f>
        <v>78735</v>
      </c>
      <c r="G111" s="245"/>
      <c r="J111" s="299"/>
      <c r="K111" s="299"/>
      <c r="L111" s="299"/>
    </row>
    <row r="112" spans="1:12" ht="34.5" customHeight="1">
      <c r="A112" s="187">
        <v>65</v>
      </c>
      <c r="B112" s="298"/>
      <c r="C112" s="246"/>
      <c r="D112" s="229">
        <v>6050</v>
      </c>
      <c r="E112" s="230" t="s">
        <v>156</v>
      </c>
      <c r="F112" s="244">
        <f>15500-248</f>
        <v>15252</v>
      </c>
      <c r="G112" s="245"/>
      <c r="J112" s="299"/>
      <c r="K112" s="299"/>
      <c r="L112" s="299"/>
    </row>
    <row r="113" spans="1:10" ht="29.25" customHeight="1">
      <c r="A113" s="187">
        <v>66</v>
      </c>
      <c r="B113" s="298"/>
      <c r="C113" s="246"/>
      <c r="D113" s="229">
        <v>6050</v>
      </c>
      <c r="E113" s="230" t="s">
        <v>157</v>
      </c>
      <c r="F113" s="244">
        <f>16200+29999</f>
        <v>46199</v>
      </c>
      <c r="G113" s="226">
        <v>0</v>
      </c>
      <c r="J113" s="299"/>
    </row>
    <row r="114" spans="1:10" ht="29.25" customHeight="1">
      <c r="A114" s="187">
        <v>67</v>
      </c>
      <c r="B114" s="298"/>
      <c r="C114" s="246"/>
      <c r="D114" s="229">
        <v>6050</v>
      </c>
      <c r="E114" s="300" t="s">
        <v>62</v>
      </c>
      <c r="F114" s="447">
        <f>200000-190200</f>
        <v>9800</v>
      </c>
      <c r="G114" s="448">
        <f>156000-156000</f>
        <v>0</v>
      </c>
      <c r="I114" s="301"/>
      <c r="J114" s="299"/>
    </row>
    <row r="115" spans="1:10" ht="45.75" customHeight="1">
      <c r="A115" s="187">
        <v>68</v>
      </c>
      <c r="B115" s="298"/>
      <c r="C115" s="246"/>
      <c r="D115" s="229">
        <v>6050</v>
      </c>
      <c r="E115" s="300" t="s">
        <v>158</v>
      </c>
      <c r="F115" s="244">
        <f>20000-5200</f>
        <v>14800</v>
      </c>
      <c r="G115" s="245"/>
      <c r="I115" s="301"/>
      <c r="J115" s="299"/>
    </row>
    <row r="116" spans="1:15" s="44" customFormat="1" ht="29.25" customHeight="1">
      <c r="A116" s="187">
        <v>69</v>
      </c>
      <c r="B116" s="298"/>
      <c r="C116" s="246"/>
      <c r="D116" s="229">
        <v>6050</v>
      </c>
      <c r="E116" s="385" t="s">
        <v>213</v>
      </c>
      <c r="F116" s="244">
        <f>100000-92989</f>
        <v>7011</v>
      </c>
      <c r="G116" s="245"/>
      <c r="I116" s="377"/>
      <c r="J116" s="334"/>
      <c r="K116" s="335"/>
      <c r="L116" s="335"/>
      <c r="M116" s="335"/>
      <c r="N116" s="335"/>
      <c r="O116" s="335"/>
    </row>
    <row r="117" spans="1:9" ht="66" customHeight="1">
      <c r="A117" s="187">
        <v>70</v>
      </c>
      <c r="B117" s="298"/>
      <c r="C117" s="246"/>
      <c r="D117" s="229">
        <v>6050</v>
      </c>
      <c r="E117" s="284" t="s">
        <v>159</v>
      </c>
      <c r="F117" s="285">
        <f>360000-9700-16</f>
        <v>350284</v>
      </c>
      <c r="G117" s="286">
        <v>0</v>
      </c>
      <c r="I117" s="219"/>
    </row>
    <row r="118" spans="1:10" ht="25.5" customHeight="1">
      <c r="A118" s="602">
        <v>71</v>
      </c>
      <c r="B118" s="298"/>
      <c r="C118" s="246"/>
      <c r="D118" s="229">
        <v>6050</v>
      </c>
      <c r="E118" s="608" t="s">
        <v>61</v>
      </c>
      <c r="F118" s="446">
        <f>5350.5+130000+650000-108150-90000-409000</f>
        <v>178200.5</v>
      </c>
      <c r="G118" s="286"/>
      <c r="J118" s="299"/>
    </row>
    <row r="119" spans="1:10" ht="23.25" customHeight="1">
      <c r="A119" s="606"/>
      <c r="B119" s="298"/>
      <c r="C119" s="246"/>
      <c r="D119" s="229">
        <v>6057</v>
      </c>
      <c r="E119" s="609"/>
      <c r="F119" s="260">
        <f>10913694.17+1463846.37+510000</f>
        <v>12887540.54</v>
      </c>
      <c r="G119" s="245">
        <v>0</v>
      </c>
      <c r="H119" s="301">
        <f>F119+F120</f>
        <v>18564254.799999997</v>
      </c>
      <c r="I119" s="301"/>
      <c r="J119" s="299"/>
    </row>
    <row r="120" spans="1:10" ht="20.25" customHeight="1">
      <c r="A120" s="607"/>
      <c r="B120" s="298"/>
      <c r="C120" s="246"/>
      <c r="D120" s="229">
        <v>6059</v>
      </c>
      <c r="E120" s="605"/>
      <c r="F120" s="260">
        <f>882187.12+4704527.14+90000</f>
        <v>5676714.26</v>
      </c>
      <c r="G120" s="245">
        <v>882187.12</v>
      </c>
      <c r="I120" s="301"/>
      <c r="J120" s="299"/>
    </row>
    <row r="121" spans="1:10" ht="30.75" customHeight="1">
      <c r="A121" s="198">
        <v>72</v>
      </c>
      <c r="B121" s="298"/>
      <c r="C121" s="246"/>
      <c r="D121" s="229">
        <v>6230</v>
      </c>
      <c r="E121" s="386" t="s">
        <v>160</v>
      </c>
      <c r="F121" s="285">
        <f>150000+500000+20000</f>
        <v>670000</v>
      </c>
      <c r="G121" s="286">
        <f>150000+500000+20000</f>
        <v>670000</v>
      </c>
      <c r="J121" s="299"/>
    </row>
    <row r="122" spans="1:15" s="305" customFormat="1" ht="29.25" customHeight="1">
      <c r="A122" s="250"/>
      <c r="B122" s="302">
        <v>921</v>
      </c>
      <c r="C122" s="302"/>
      <c r="D122" s="250"/>
      <c r="E122" s="303" t="s">
        <v>161</v>
      </c>
      <c r="F122" s="304">
        <f>F123+F125</f>
        <v>860000</v>
      </c>
      <c r="G122" s="341">
        <f>G123+G125</f>
        <v>450000</v>
      </c>
      <c r="J122" s="306"/>
      <c r="K122" s="306"/>
      <c r="L122" s="306"/>
      <c r="M122" s="306"/>
      <c r="N122" s="306"/>
      <c r="O122" s="306"/>
    </row>
    <row r="123" spans="1:15" s="291" customFormat="1" ht="29.25" customHeight="1">
      <c r="A123" s="307" t="s">
        <v>3</v>
      </c>
      <c r="B123" s="308"/>
      <c r="C123" s="309">
        <v>92109</v>
      </c>
      <c r="D123" s="310"/>
      <c r="E123" s="311" t="s">
        <v>162</v>
      </c>
      <c r="F123" s="312">
        <f>F124</f>
        <v>854000</v>
      </c>
      <c r="G123" s="313">
        <f>G124</f>
        <v>450000</v>
      </c>
      <c r="J123" s="292"/>
      <c r="K123" s="292"/>
      <c r="L123" s="292"/>
      <c r="M123" s="292"/>
      <c r="N123" s="292"/>
      <c r="O123" s="292"/>
    </row>
    <row r="124" spans="1:7" ht="34.5" customHeight="1">
      <c r="A124" s="187">
        <v>73</v>
      </c>
      <c r="B124" s="314"/>
      <c r="C124" s="315"/>
      <c r="D124" s="280">
        <v>6050</v>
      </c>
      <c r="E124" s="295" t="s">
        <v>163</v>
      </c>
      <c r="F124" s="285">
        <f>850000+30000-26000</f>
        <v>854000</v>
      </c>
      <c r="G124" s="286">
        <v>450000</v>
      </c>
    </row>
    <row r="125" spans="1:7" ht="21.75" customHeight="1">
      <c r="A125" s="187"/>
      <c r="B125" s="314"/>
      <c r="C125" s="316">
        <v>92195</v>
      </c>
      <c r="D125" s="280"/>
      <c r="E125" s="317" t="s">
        <v>94</v>
      </c>
      <c r="F125" s="285">
        <f>F126</f>
        <v>6000</v>
      </c>
      <c r="G125" s="286">
        <f>G126</f>
        <v>0</v>
      </c>
    </row>
    <row r="126" spans="1:7" ht="28.5" customHeight="1">
      <c r="A126" s="187">
        <v>74</v>
      </c>
      <c r="B126" s="314"/>
      <c r="C126" s="315"/>
      <c r="D126" s="280">
        <v>6050</v>
      </c>
      <c r="E126" s="295" t="s">
        <v>164</v>
      </c>
      <c r="F126" s="285">
        <v>6000</v>
      </c>
      <c r="G126" s="286"/>
    </row>
    <row r="127" spans="1:7" ht="30" customHeight="1">
      <c r="A127" s="187"/>
      <c r="B127" s="302">
        <v>926</v>
      </c>
      <c r="C127" s="214"/>
      <c r="D127" s="250"/>
      <c r="E127" s="318" t="s">
        <v>165</v>
      </c>
      <c r="F127" s="319">
        <f>F128+F130</f>
        <v>82040</v>
      </c>
      <c r="G127" s="286"/>
    </row>
    <row r="128" spans="1:7" ht="30" customHeight="1">
      <c r="A128" s="228"/>
      <c r="B128" s="321"/>
      <c r="C128" s="263">
        <v>92601</v>
      </c>
      <c r="D128" s="263"/>
      <c r="E128" s="320" t="s">
        <v>166</v>
      </c>
      <c r="F128" s="285">
        <f>F129</f>
        <v>40000</v>
      </c>
      <c r="G128" s="286"/>
    </row>
    <row r="129" spans="1:7" ht="30" customHeight="1">
      <c r="A129" s="228">
        <v>75</v>
      </c>
      <c r="B129" s="321"/>
      <c r="C129" s="187"/>
      <c r="D129" s="322">
        <v>6050</v>
      </c>
      <c r="E129" s="323" t="s">
        <v>225</v>
      </c>
      <c r="F129" s="285">
        <v>40000</v>
      </c>
      <c r="G129" s="286"/>
    </row>
    <row r="130" spans="1:15" s="291" customFormat="1" ht="27.75" customHeight="1">
      <c r="A130" s="288"/>
      <c r="B130" s="372"/>
      <c r="C130" s="263">
        <v>92604</v>
      </c>
      <c r="D130" s="373"/>
      <c r="E130" s="374" t="s">
        <v>204</v>
      </c>
      <c r="F130" s="289">
        <f>F131+F132</f>
        <v>42040</v>
      </c>
      <c r="G130" s="290"/>
      <c r="J130" s="292"/>
      <c r="K130" s="292"/>
      <c r="L130" s="292"/>
      <c r="M130" s="292"/>
      <c r="N130" s="292"/>
      <c r="O130" s="292"/>
    </row>
    <row r="131" spans="1:15" s="278" customFormat="1" ht="27.75" customHeight="1">
      <c r="A131" s="198">
        <v>76</v>
      </c>
      <c r="B131" s="321"/>
      <c r="C131" s="228"/>
      <c r="D131" s="322">
        <v>6060</v>
      </c>
      <c r="E131" s="375" t="s">
        <v>235</v>
      </c>
      <c r="F131" s="285">
        <v>30000</v>
      </c>
      <c r="G131" s="286"/>
      <c r="J131" s="279"/>
      <c r="K131" s="279"/>
      <c r="L131" s="279"/>
      <c r="M131" s="279"/>
      <c r="N131" s="279"/>
      <c r="O131" s="279"/>
    </row>
    <row r="132" spans="1:7" ht="31.5" customHeight="1">
      <c r="A132" s="198">
        <v>77</v>
      </c>
      <c r="B132" s="321"/>
      <c r="C132" s="228"/>
      <c r="D132" s="213">
        <v>6060</v>
      </c>
      <c r="E132" s="375" t="s">
        <v>205</v>
      </c>
      <c r="F132" s="285">
        <f>15000-2960</f>
        <v>12040</v>
      </c>
      <c r="G132" s="286"/>
    </row>
    <row r="133" spans="1:10" ht="30" customHeight="1">
      <c r="A133" s="198"/>
      <c r="B133" s="324" t="s">
        <v>167</v>
      </c>
      <c r="C133" s="325"/>
      <c r="D133" s="271"/>
      <c r="E133" s="326"/>
      <c r="F133" s="217">
        <f>F134+F145+F149+F153+F159+F162+F173+F176+F179</f>
        <v>9633373.3</v>
      </c>
      <c r="G133" s="218">
        <f>G134+G145+G149+G153+G159+G162+G173+G176+G179</f>
        <v>498009.64</v>
      </c>
      <c r="J133" s="205"/>
    </row>
    <row r="134" spans="1:10" ht="26.25" customHeight="1">
      <c r="A134" s="250"/>
      <c r="B134" s="272">
        <v>600</v>
      </c>
      <c r="C134" s="214"/>
      <c r="D134" s="215"/>
      <c r="E134" s="237" t="s">
        <v>85</v>
      </c>
      <c r="F134" s="238">
        <f>F135+F137</f>
        <v>8089211.8</v>
      </c>
      <c r="G134" s="239">
        <f>G137</f>
        <v>495309.64</v>
      </c>
      <c r="J134" s="220"/>
    </row>
    <row r="135" spans="1:15" s="291" customFormat="1" ht="26.25" customHeight="1">
      <c r="A135" s="327"/>
      <c r="B135" s="328"/>
      <c r="C135" s="247">
        <v>60013</v>
      </c>
      <c r="D135" s="223"/>
      <c r="E135" s="224" t="s">
        <v>168</v>
      </c>
      <c r="F135" s="225">
        <f>F136</f>
        <v>250000</v>
      </c>
      <c r="G135" s="329"/>
      <c r="J135" s="330"/>
      <c r="K135" s="292"/>
      <c r="L135" s="292"/>
      <c r="M135" s="292"/>
      <c r="N135" s="292"/>
      <c r="O135" s="292"/>
    </row>
    <row r="136" spans="1:10" ht="63" customHeight="1">
      <c r="A136" s="213">
        <v>78</v>
      </c>
      <c r="B136" s="272"/>
      <c r="C136" s="214"/>
      <c r="D136" s="213">
        <v>6300</v>
      </c>
      <c r="E136" s="331" t="s">
        <v>169</v>
      </c>
      <c r="F136" s="285">
        <f>95000+155000</f>
        <v>250000</v>
      </c>
      <c r="G136" s="286"/>
      <c r="J136" s="220"/>
    </row>
    <row r="137" spans="1:10" ht="27" customHeight="1">
      <c r="A137" s="213"/>
      <c r="B137" s="240"/>
      <c r="C137" s="247">
        <v>60015</v>
      </c>
      <c r="D137" s="223"/>
      <c r="E137" s="224" t="s">
        <v>170</v>
      </c>
      <c r="F137" s="225">
        <f>SUM(F138:F144)</f>
        <v>7839211.8</v>
      </c>
      <c r="G137" s="226">
        <f>SUM(G138:G144)</f>
        <v>495309.64</v>
      </c>
      <c r="J137" s="299"/>
    </row>
    <row r="138" spans="1:15" s="44" customFormat="1" ht="30.75" customHeight="1">
      <c r="A138" s="213">
        <v>79</v>
      </c>
      <c r="B138" s="332"/>
      <c r="C138" s="242"/>
      <c r="D138" s="229">
        <v>6050</v>
      </c>
      <c r="E138" s="259" t="s">
        <v>171</v>
      </c>
      <c r="F138" s="333">
        <f>9655000-155000+3906793.48-7997793.48</f>
        <v>5409000</v>
      </c>
      <c r="G138" s="286">
        <f>473012.76-473012.76</f>
        <v>0</v>
      </c>
      <c r="J138" s="334"/>
      <c r="K138" s="335"/>
      <c r="L138" s="335"/>
      <c r="M138" s="335"/>
      <c r="N138" s="335"/>
      <c r="O138" s="335"/>
    </row>
    <row r="139" spans="1:15" s="44" customFormat="1" ht="28.5" customHeight="1">
      <c r="A139" s="213">
        <v>80</v>
      </c>
      <c r="B139" s="332"/>
      <c r="C139" s="242"/>
      <c r="D139" s="229">
        <v>6050</v>
      </c>
      <c r="E139" s="259" t="s">
        <v>172</v>
      </c>
      <c r="F139" s="285">
        <f>400000-3500</f>
        <v>396500</v>
      </c>
      <c r="G139" s="286">
        <f>22305.88-9</f>
        <v>22296.88</v>
      </c>
      <c r="J139" s="334"/>
      <c r="K139" s="335"/>
      <c r="L139" s="335"/>
      <c r="M139" s="335"/>
      <c r="N139" s="335"/>
      <c r="O139" s="335"/>
    </row>
    <row r="140" spans="1:15" s="44" customFormat="1" ht="26.25" customHeight="1">
      <c r="A140" s="213">
        <v>81</v>
      </c>
      <c r="B140" s="332"/>
      <c r="C140" s="242"/>
      <c r="D140" s="229">
        <v>6050</v>
      </c>
      <c r="E140" s="295" t="s">
        <v>226</v>
      </c>
      <c r="F140" s="285">
        <f>36000+2000000-45200-220000-83500</f>
        <v>1687300</v>
      </c>
      <c r="G140" s="286">
        <v>473012.76</v>
      </c>
      <c r="J140" s="334"/>
      <c r="K140" s="335"/>
      <c r="L140" s="335"/>
      <c r="M140" s="335"/>
      <c r="N140" s="335"/>
      <c r="O140" s="335"/>
    </row>
    <row r="141" spans="1:15" s="44" customFormat="1" ht="32.25" customHeight="1">
      <c r="A141" s="213">
        <v>82</v>
      </c>
      <c r="B141" s="332"/>
      <c r="C141" s="242"/>
      <c r="D141" s="229">
        <v>6050</v>
      </c>
      <c r="E141" s="259" t="s">
        <v>173</v>
      </c>
      <c r="F141" s="285">
        <v>20000</v>
      </c>
      <c r="G141" s="286"/>
      <c r="J141" s="334"/>
      <c r="K141" s="335"/>
      <c r="L141" s="335"/>
      <c r="M141" s="335"/>
      <c r="N141" s="335"/>
      <c r="O141" s="335"/>
    </row>
    <row r="142" spans="1:15" s="44" customFormat="1" ht="33" customHeight="1">
      <c r="A142" s="213">
        <v>83</v>
      </c>
      <c r="B142" s="332"/>
      <c r="C142" s="242"/>
      <c r="D142" s="229">
        <v>6050</v>
      </c>
      <c r="E142" s="230" t="s">
        <v>174</v>
      </c>
      <c r="F142" s="285">
        <v>60712.8</v>
      </c>
      <c r="G142" s="286"/>
      <c r="J142" s="334"/>
      <c r="K142" s="335"/>
      <c r="L142" s="335"/>
      <c r="M142" s="335"/>
      <c r="N142" s="335"/>
      <c r="O142" s="335"/>
    </row>
    <row r="143" spans="1:15" s="44" customFormat="1" ht="62.25" customHeight="1">
      <c r="A143" s="213">
        <v>84</v>
      </c>
      <c r="B143" s="332"/>
      <c r="C143" s="242"/>
      <c r="D143" s="213">
        <v>6050</v>
      </c>
      <c r="E143" s="249" t="s">
        <v>227</v>
      </c>
      <c r="F143" s="285">
        <v>55000</v>
      </c>
      <c r="G143" s="286"/>
      <c r="J143" s="334"/>
      <c r="K143" s="335"/>
      <c r="L143" s="335"/>
      <c r="M143" s="335"/>
      <c r="N143" s="335"/>
      <c r="O143" s="335"/>
    </row>
    <row r="144" spans="1:15" s="44" customFormat="1" ht="54.75" customHeight="1">
      <c r="A144" s="213">
        <v>85</v>
      </c>
      <c r="B144" s="332"/>
      <c r="C144" s="242"/>
      <c r="D144" s="198">
        <v>6050</v>
      </c>
      <c r="E144" s="336" t="s">
        <v>175</v>
      </c>
      <c r="F144" s="285">
        <f>400000-189301</f>
        <v>210699</v>
      </c>
      <c r="G144" s="286"/>
      <c r="J144" s="334"/>
      <c r="K144" s="335"/>
      <c r="L144" s="337"/>
      <c r="M144" s="335"/>
      <c r="N144" s="335"/>
      <c r="O144" s="335"/>
    </row>
    <row r="145" spans="1:15" s="342" customFormat="1" ht="25.5" customHeight="1">
      <c r="A145" s="250"/>
      <c r="B145" s="338">
        <v>630</v>
      </c>
      <c r="C145" s="214"/>
      <c r="D145" s="339"/>
      <c r="E145" s="340" t="s">
        <v>176</v>
      </c>
      <c r="F145" s="304">
        <f>F146</f>
        <v>772810</v>
      </c>
      <c r="G145" s="341">
        <f>G146</f>
        <v>2700</v>
      </c>
      <c r="J145" s="343"/>
      <c r="K145" s="344"/>
      <c r="L145" s="344"/>
      <c r="M145" s="344"/>
      <c r="N145" s="344"/>
      <c r="O145" s="344"/>
    </row>
    <row r="146" spans="1:15" s="346" customFormat="1" ht="21" customHeight="1">
      <c r="A146" s="213"/>
      <c r="B146" s="258"/>
      <c r="C146" s="247">
        <v>63095</v>
      </c>
      <c r="D146" s="345"/>
      <c r="E146" s="317" t="s">
        <v>94</v>
      </c>
      <c r="F146" s="312">
        <f>SUM(F147:F148)</f>
        <v>772810</v>
      </c>
      <c r="G146" s="313">
        <f>SUM(G147:G148)</f>
        <v>2700</v>
      </c>
      <c r="J146" s="347"/>
      <c r="K146" s="348"/>
      <c r="L146" s="348"/>
      <c r="M146" s="348"/>
      <c r="N146" s="348"/>
      <c r="O146" s="348"/>
    </row>
    <row r="147" spans="1:15" s="352" customFormat="1" ht="21" customHeight="1">
      <c r="A147" s="213">
        <v>86</v>
      </c>
      <c r="B147" s="332"/>
      <c r="C147" s="242"/>
      <c r="D147" s="349">
        <v>6050</v>
      </c>
      <c r="E147" s="259" t="s">
        <v>206</v>
      </c>
      <c r="F147" s="350">
        <v>24000</v>
      </c>
      <c r="G147" s="351"/>
      <c r="J147" s="353"/>
      <c r="K147" s="354"/>
      <c r="L147" s="354"/>
      <c r="M147" s="354"/>
      <c r="N147" s="354"/>
      <c r="O147" s="354"/>
    </row>
    <row r="148" spans="1:15" s="346" customFormat="1" ht="31.5" customHeight="1">
      <c r="A148" s="213">
        <v>87</v>
      </c>
      <c r="B148" s="258"/>
      <c r="C148" s="246"/>
      <c r="D148" s="229">
        <v>6050</v>
      </c>
      <c r="E148" s="259" t="s">
        <v>177</v>
      </c>
      <c r="F148" s="285">
        <f>680000+100+2700+10+66000</f>
        <v>748810</v>
      </c>
      <c r="G148" s="286">
        <v>2700</v>
      </c>
      <c r="J148" s="347"/>
      <c r="K148" s="348"/>
      <c r="L148" s="348"/>
      <c r="M148" s="348"/>
      <c r="N148" s="348"/>
      <c r="O148" s="348"/>
    </row>
    <row r="149" spans="1:15" s="346" customFormat="1" ht="25.5" customHeight="1">
      <c r="A149" s="213"/>
      <c r="B149" s="338">
        <v>710</v>
      </c>
      <c r="C149" s="214"/>
      <c r="D149" s="339"/>
      <c r="E149" s="340" t="s">
        <v>178</v>
      </c>
      <c r="F149" s="304">
        <f>F150</f>
        <v>34500</v>
      </c>
      <c r="G149" s="341">
        <f>G150</f>
        <v>0</v>
      </c>
      <c r="J149" s="347"/>
      <c r="K149" s="348"/>
      <c r="L149" s="348"/>
      <c r="M149" s="348"/>
      <c r="N149" s="348"/>
      <c r="O149" s="348"/>
    </row>
    <row r="150" spans="1:15" s="346" customFormat="1" ht="27" customHeight="1">
      <c r="A150" s="213"/>
      <c r="B150" s="258"/>
      <c r="C150" s="247">
        <v>71012</v>
      </c>
      <c r="D150" s="345"/>
      <c r="E150" s="317" t="s">
        <v>179</v>
      </c>
      <c r="F150" s="312">
        <f>F151+F152</f>
        <v>34500</v>
      </c>
      <c r="G150" s="313">
        <f>G152</f>
        <v>0</v>
      </c>
      <c r="J150" s="348"/>
      <c r="K150" s="348"/>
      <c r="L150" s="348"/>
      <c r="M150" s="348"/>
      <c r="N150" s="348"/>
      <c r="O150" s="348"/>
    </row>
    <row r="151" spans="1:15" s="352" customFormat="1" ht="27" customHeight="1">
      <c r="A151" s="213">
        <v>88</v>
      </c>
      <c r="B151" s="332"/>
      <c r="C151" s="242"/>
      <c r="D151" s="349">
        <v>6060</v>
      </c>
      <c r="E151" s="259" t="s">
        <v>271</v>
      </c>
      <c r="F151" s="350">
        <v>20000</v>
      </c>
      <c r="G151" s="351"/>
      <c r="J151" s="354"/>
      <c r="K151" s="354"/>
      <c r="L151" s="354"/>
      <c r="M151" s="354"/>
      <c r="N151" s="354"/>
      <c r="O151" s="354"/>
    </row>
    <row r="152" spans="1:15" s="346" customFormat="1" ht="24.75" customHeight="1">
      <c r="A152" s="213">
        <v>89</v>
      </c>
      <c r="B152" s="332"/>
      <c r="C152" s="242"/>
      <c r="D152" s="229">
        <v>6060</v>
      </c>
      <c r="E152" s="259" t="s">
        <v>180</v>
      </c>
      <c r="F152" s="285">
        <f>20000-5500</f>
        <v>14500</v>
      </c>
      <c r="G152" s="286">
        <v>0</v>
      </c>
      <c r="J152" s="347"/>
      <c r="K152" s="348"/>
      <c r="L152" s="348"/>
      <c r="M152" s="348"/>
      <c r="N152" s="348"/>
      <c r="O152" s="348"/>
    </row>
    <row r="153" spans="1:15" s="346" customFormat="1" ht="26.25" customHeight="1">
      <c r="A153" s="213"/>
      <c r="B153" s="214">
        <v>754</v>
      </c>
      <c r="C153" s="214"/>
      <c r="D153" s="250"/>
      <c r="E153" s="276" t="s">
        <v>101</v>
      </c>
      <c r="F153" s="238">
        <f>F154+F156</f>
        <v>592972</v>
      </c>
      <c r="G153" s="239">
        <f>G154+G156</f>
        <v>0</v>
      </c>
      <c r="J153" s="348"/>
      <c r="K153" s="348"/>
      <c r="L153" s="348"/>
      <c r="M153" s="348"/>
      <c r="N153" s="348"/>
      <c r="O153" s="348"/>
    </row>
    <row r="154" spans="1:15" s="346" customFormat="1" ht="21.75" customHeight="1">
      <c r="A154" s="213"/>
      <c r="B154" s="242"/>
      <c r="C154" s="355">
        <v>75405</v>
      </c>
      <c r="D154" s="356"/>
      <c r="E154" s="275" t="s">
        <v>181</v>
      </c>
      <c r="F154" s="244">
        <f>F155</f>
        <v>63000</v>
      </c>
      <c r="G154" s="245">
        <f>G155</f>
        <v>0</v>
      </c>
      <c r="J154" s="348"/>
      <c r="K154" s="348"/>
      <c r="L154" s="348"/>
      <c r="M154" s="348"/>
      <c r="N154" s="348"/>
      <c r="O154" s="348"/>
    </row>
    <row r="155" spans="1:15" s="346" customFormat="1" ht="33.75" customHeight="1">
      <c r="A155" s="213">
        <v>90</v>
      </c>
      <c r="B155" s="283"/>
      <c r="C155" s="214"/>
      <c r="D155" s="356">
        <v>6170</v>
      </c>
      <c r="E155" s="275" t="s">
        <v>182</v>
      </c>
      <c r="F155" s="244">
        <v>63000</v>
      </c>
      <c r="G155" s="245"/>
      <c r="J155" s="348"/>
      <c r="K155" s="348"/>
      <c r="L155" s="348"/>
      <c r="M155" s="348"/>
      <c r="N155" s="348"/>
      <c r="O155" s="348"/>
    </row>
    <row r="156" spans="1:15" s="346" customFormat="1" ht="27" customHeight="1">
      <c r="A156" s="213"/>
      <c r="B156" s="246"/>
      <c r="C156" s="247">
        <v>75411</v>
      </c>
      <c r="D156" s="310"/>
      <c r="E156" s="255" t="s">
        <v>183</v>
      </c>
      <c r="F156" s="225">
        <f>SUM(F157:F158)</f>
        <v>529972</v>
      </c>
      <c r="G156" s="226">
        <f>SUM(G157:G158)</f>
        <v>0</v>
      </c>
      <c r="J156" s="348"/>
      <c r="K156" s="348"/>
      <c r="L156" s="348"/>
      <c r="M156" s="348"/>
      <c r="N156" s="348"/>
      <c r="O156" s="348"/>
    </row>
    <row r="157" spans="1:15" s="346" customFormat="1" ht="71.25" customHeight="1">
      <c r="A157" s="213">
        <v>91</v>
      </c>
      <c r="B157" s="242"/>
      <c r="C157" s="243"/>
      <c r="D157" s="280">
        <v>6050</v>
      </c>
      <c r="E157" s="230" t="s">
        <v>184</v>
      </c>
      <c r="F157" s="244">
        <f>480000-28</f>
        <v>479972</v>
      </c>
      <c r="G157" s="245">
        <v>0</v>
      </c>
      <c r="J157" s="348"/>
      <c r="K157" s="348"/>
      <c r="L157" s="348"/>
      <c r="M157" s="348"/>
      <c r="N157" s="348"/>
      <c r="O157" s="348"/>
    </row>
    <row r="158" spans="1:15" s="346" customFormat="1" ht="54.75" customHeight="1">
      <c r="A158" s="228">
        <v>92</v>
      </c>
      <c r="B158" s="242"/>
      <c r="C158" s="243"/>
      <c r="D158" s="280">
        <v>6060</v>
      </c>
      <c r="E158" s="230" t="s">
        <v>229</v>
      </c>
      <c r="F158" s="244">
        <v>50000</v>
      </c>
      <c r="G158" s="245"/>
      <c r="J158" s="348"/>
      <c r="K158" s="348"/>
      <c r="L158" s="348"/>
      <c r="M158" s="348"/>
      <c r="N158" s="348"/>
      <c r="O158" s="348"/>
    </row>
    <row r="159" spans="1:15" s="346" customFormat="1" ht="27" customHeight="1">
      <c r="A159" s="228"/>
      <c r="B159" s="214">
        <v>758</v>
      </c>
      <c r="C159" s="214"/>
      <c r="D159" s="215"/>
      <c r="E159" s="237" t="s">
        <v>106</v>
      </c>
      <c r="F159" s="238">
        <f>F160</f>
        <v>41484.5</v>
      </c>
      <c r="G159" s="239">
        <f>G160</f>
        <v>0</v>
      </c>
      <c r="J159" s="348"/>
      <c r="K159" s="348"/>
      <c r="L159" s="348"/>
      <c r="M159" s="348"/>
      <c r="N159" s="348"/>
      <c r="O159" s="348"/>
    </row>
    <row r="160" spans="1:15" s="346" customFormat="1" ht="27.75" customHeight="1">
      <c r="A160" s="228"/>
      <c r="B160" s="328"/>
      <c r="C160" s="357">
        <v>75818</v>
      </c>
      <c r="D160" s="248"/>
      <c r="E160" s="255" t="s">
        <v>107</v>
      </c>
      <c r="F160" s="256">
        <f>F161</f>
        <v>41484.5</v>
      </c>
      <c r="G160" s="257">
        <f>G161</f>
        <v>0</v>
      </c>
      <c r="J160" s="348"/>
      <c r="K160" s="348"/>
      <c r="L160" s="348"/>
      <c r="M160" s="348"/>
      <c r="N160" s="348"/>
      <c r="O160" s="348"/>
    </row>
    <row r="161" spans="1:15" s="346" customFormat="1" ht="26.25" customHeight="1">
      <c r="A161" s="228"/>
      <c r="B161" s="283"/>
      <c r="C161" s="243"/>
      <c r="D161" s="271">
        <v>6800</v>
      </c>
      <c r="E161" s="275" t="s">
        <v>14</v>
      </c>
      <c r="F161" s="231">
        <f>800000-20000-130000-182809.38-130000+3799-100765.56-84000+100000-27000-123215.08-4000+0.52-7515-10-13000-20000-20000</f>
        <v>41484.5</v>
      </c>
      <c r="G161" s="232">
        <f>500000-500000</f>
        <v>0</v>
      </c>
      <c r="J161" s="348"/>
      <c r="K161" s="348"/>
      <c r="L161" s="348"/>
      <c r="M161" s="348"/>
      <c r="N161" s="348"/>
      <c r="O161" s="348"/>
    </row>
    <row r="162" spans="1:15" s="346" customFormat="1" ht="23.25" customHeight="1">
      <c r="A162" s="228"/>
      <c r="B162" s="272">
        <v>801</v>
      </c>
      <c r="C162" s="214"/>
      <c r="D162" s="250"/>
      <c r="E162" s="261" t="s">
        <v>108</v>
      </c>
      <c r="F162" s="238">
        <f>SUM(F163+F167+F171)</f>
        <v>43395</v>
      </c>
      <c r="G162" s="239">
        <f>SUM(G163+G167+G171)</f>
        <v>0</v>
      </c>
      <c r="J162" s="348"/>
      <c r="K162" s="348"/>
      <c r="L162" s="348"/>
      <c r="M162" s="348"/>
      <c r="N162" s="348"/>
      <c r="O162" s="348"/>
    </row>
    <row r="163" spans="1:15" s="346" customFormat="1" ht="23.25" customHeight="1">
      <c r="A163" s="228"/>
      <c r="B163" s="240"/>
      <c r="C163" s="358">
        <v>80120</v>
      </c>
      <c r="D163" s="263"/>
      <c r="E163" s="264" t="s">
        <v>185</v>
      </c>
      <c r="F163" s="225">
        <f>SUM(F164:F166)</f>
        <v>14498</v>
      </c>
      <c r="G163" s="226">
        <f>SUM(G164:G166)</f>
        <v>0</v>
      </c>
      <c r="J163" s="348"/>
      <c r="K163" s="348"/>
      <c r="L163" s="348"/>
      <c r="M163" s="348"/>
      <c r="N163" s="348"/>
      <c r="O163" s="348"/>
    </row>
    <row r="164" spans="1:15" s="346" customFormat="1" ht="21.75" customHeight="1">
      <c r="A164" s="213">
        <v>93</v>
      </c>
      <c r="B164" s="258"/>
      <c r="C164" s="240"/>
      <c r="D164" s="322">
        <v>6060</v>
      </c>
      <c r="E164" s="267" t="s">
        <v>186</v>
      </c>
      <c r="F164" s="244">
        <f>5000-1283</f>
        <v>3717</v>
      </c>
      <c r="G164" s="245">
        <v>0</v>
      </c>
      <c r="J164" s="348"/>
      <c r="K164" s="348"/>
      <c r="L164" s="348"/>
      <c r="M164" s="348"/>
      <c r="N164" s="348"/>
      <c r="O164" s="348"/>
    </row>
    <row r="165" spans="1:15" s="346" customFormat="1" ht="23.25" customHeight="1">
      <c r="A165" s="213">
        <v>94</v>
      </c>
      <c r="B165" s="258"/>
      <c r="C165" s="246"/>
      <c r="D165" s="322">
        <v>6060</v>
      </c>
      <c r="E165" s="267" t="s">
        <v>187</v>
      </c>
      <c r="F165" s="244">
        <f>8000-2</f>
        <v>7998</v>
      </c>
      <c r="G165" s="245">
        <v>0</v>
      </c>
      <c r="J165" s="348"/>
      <c r="K165" s="348"/>
      <c r="L165" s="348"/>
      <c r="M165" s="348"/>
      <c r="N165" s="348"/>
      <c r="O165" s="348"/>
    </row>
    <row r="166" spans="1:15" s="346" customFormat="1" ht="32.25" customHeight="1">
      <c r="A166" s="213">
        <v>95</v>
      </c>
      <c r="B166" s="296"/>
      <c r="C166" s="274"/>
      <c r="D166" s="322">
        <v>6060</v>
      </c>
      <c r="E166" s="267" t="s">
        <v>188</v>
      </c>
      <c r="F166" s="244">
        <f>3166-383</f>
        <v>2783</v>
      </c>
      <c r="G166" s="245">
        <v>0</v>
      </c>
      <c r="J166" s="348"/>
      <c r="K166" s="348"/>
      <c r="L166" s="348"/>
      <c r="M166" s="348"/>
      <c r="N166" s="348"/>
      <c r="O166" s="348"/>
    </row>
    <row r="167" spans="1:15" s="346" customFormat="1" ht="23.25" customHeight="1">
      <c r="A167" s="213"/>
      <c r="B167" s="243"/>
      <c r="C167" s="221">
        <v>80130</v>
      </c>
      <c r="D167" s="263"/>
      <c r="E167" s="264" t="s">
        <v>189</v>
      </c>
      <c r="F167" s="225">
        <f>SUM(F168:F170)</f>
        <v>22919</v>
      </c>
      <c r="G167" s="226">
        <f>SUM(G170:G170)</f>
        <v>0</v>
      </c>
      <c r="J167" s="348"/>
      <c r="K167" s="348"/>
      <c r="L167" s="348"/>
      <c r="M167" s="348"/>
      <c r="N167" s="348"/>
      <c r="O167" s="348"/>
    </row>
    <row r="168" spans="1:15" s="346" customFormat="1" ht="21" customHeight="1">
      <c r="A168" s="213">
        <v>96</v>
      </c>
      <c r="B168" s="296"/>
      <c r="C168" s="240"/>
      <c r="D168" s="322">
        <v>6060</v>
      </c>
      <c r="E168" s="267" t="s">
        <v>190</v>
      </c>
      <c r="F168" s="244">
        <v>5000</v>
      </c>
      <c r="G168" s="245">
        <v>0</v>
      </c>
      <c r="J168" s="348"/>
      <c r="K168" s="348"/>
      <c r="L168" s="348"/>
      <c r="M168" s="348"/>
      <c r="N168" s="348"/>
      <c r="O168" s="348"/>
    </row>
    <row r="169" spans="1:15" s="346" customFormat="1" ht="22.5" customHeight="1">
      <c r="A169" s="213">
        <v>97</v>
      </c>
      <c r="B169" s="296"/>
      <c r="C169" s="246"/>
      <c r="D169" s="322">
        <v>6060</v>
      </c>
      <c r="E169" s="267" t="s">
        <v>191</v>
      </c>
      <c r="F169" s="244">
        <v>10000</v>
      </c>
      <c r="G169" s="245">
        <v>0</v>
      </c>
      <c r="J169" s="348"/>
      <c r="K169" s="348"/>
      <c r="L169" s="348"/>
      <c r="M169" s="348"/>
      <c r="N169" s="348"/>
      <c r="O169" s="348"/>
    </row>
    <row r="170" spans="1:15" s="346" customFormat="1" ht="30" customHeight="1">
      <c r="A170" s="213"/>
      <c r="B170" s="296"/>
      <c r="C170" s="222"/>
      <c r="D170" s="322">
        <v>6060</v>
      </c>
      <c r="E170" s="267" t="s">
        <v>188</v>
      </c>
      <c r="F170" s="244">
        <f>9011-1092</f>
        <v>7919</v>
      </c>
      <c r="G170" s="245">
        <v>0</v>
      </c>
      <c r="J170" s="348"/>
      <c r="K170" s="348"/>
      <c r="L170" s="348"/>
      <c r="M170" s="348"/>
      <c r="N170" s="348"/>
      <c r="O170" s="348"/>
    </row>
    <row r="171" spans="1:15" s="346" customFormat="1" ht="25.5" customHeight="1">
      <c r="A171" s="228"/>
      <c r="B171" s="243"/>
      <c r="C171" s="222">
        <v>80148</v>
      </c>
      <c r="D171" s="223"/>
      <c r="E171" s="224" t="s">
        <v>125</v>
      </c>
      <c r="F171" s="225">
        <f>F172</f>
        <v>5978</v>
      </c>
      <c r="G171" s="226">
        <f>SUM(G172:G174)</f>
        <v>0</v>
      </c>
      <c r="J171" s="348"/>
      <c r="K171" s="348"/>
      <c r="L171" s="348"/>
      <c r="M171" s="348"/>
      <c r="N171" s="348"/>
      <c r="O171" s="348"/>
    </row>
    <row r="172" spans="1:15" s="346" customFormat="1" ht="25.5" customHeight="1">
      <c r="A172" s="213">
        <v>98</v>
      </c>
      <c r="B172" s="243"/>
      <c r="C172" s="246"/>
      <c r="D172" s="213">
        <v>6060</v>
      </c>
      <c r="E172" s="249" t="s">
        <v>192</v>
      </c>
      <c r="F172" s="244">
        <f>6000-22</f>
        <v>5978</v>
      </c>
      <c r="G172" s="245">
        <v>0</v>
      </c>
      <c r="J172" s="348"/>
      <c r="K172" s="348"/>
      <c r="L172" s="348"/>
      <c r="M172" s="348"/>
      <c r="N172" s="348"/>
      <c r="O172" s="348"/>
    </row>
    <row r="173" spans="1:15" s="346" customFormat="1" ht="22.5" customHeight="1">
      <c r="A173" s="228"/>
      <c r="B173" s="214">
        <v>852</v>
      </c>
      <c r="C173" s="214"/>
      <c r="D173" s="250"/>
      <c r="E173" s="251" t="s">
        <v>193</v>
      </c>
      <c r="F173" s="304">
        <f>F174</f>
        <v>15000</v>
      </c>
      <c r="G173" s="341">
        <f>G174</f>
        <v>0</v>
      </c>
      <c r="J173" s="348"/>
      <c r="K173" s="348"/>
      <c r="L173" s="348"/>
      <c r="M173" s="348"/>
      <c r="N173" s="348"/>
      <c r="O173" s="348"/>
    </row>
    <row r="174" spans="1:15" s="346" customFormat="1" ht="25.5" customHeight="1">
      <c r="A174" s="228"/>
      <c r="B174" s="240"/>
      <c r="C174" s="359">
        <v>85202</v>
      </c>
      <c r="D174" s="263"/>
      <c r="E174" s="360" t="s">
        <v>194</v>
      </c>
      <c r="F174" s="312">
        <f>F175</f>
        <v>15000</v>
      </c>
      <c r="G174" s="313">
        <f>G175</f>
        <v>0</v>
      </c>
      <c r="J174" s="348"/>
      <c r="K174" s="348"/>
      <c r="L174" s="348"/>
      <c r="M174" s="348"/>
      <c r="N174" s="348"/>
      <c r="O174" s="348"/>
    </row>
    <row r="175" spans="1:15" s="346" customFormat="1" ht="22.5" customHeight="1">
      <c r="A175" s="187">
        <v>99</v>
      </c>
      <c r="B175" s="242"/>
      <c r="C175" s="417"/>
      <c r="D175" s="213">
        <v>6060</v>
      </c>
      <c r="E175" s="249" t="s">
        <v>195</v>
      </c>
      <c r="F175" s="285">
        <v>15000</v>
      </c>
      <c r="G175" s="286">
        <v>0</v>
      </c>
      <c r="J175" s="348"/>
      <c r="K175" s="348"/>
      <c r="L175" s="348"/>
      <c r="M175" s="348"/>
      <c r="N175" s="348"/>
      <c r="O175" s="348"/>
    </row>
    <row r="176" spans="1:15" s="346" customFormat="1" ht="22.5" customHeight="1">
      <c r="A176" s="250"/>
      <c r="B176" s="272">
        <v>853</v>
      </c>
      <c r="C176" s="274"/>
      <c r="D176" s="281"/>
      <c r="E176" s="237" t="s">
        <v>129</v>
      </c>
      <c r="F176" s="319">
        <f>F177</f>
        <v>17000</v>
      </c>
      <c r="G176" s="419"/>
      <c r="J176" s="348"/>
      <c r="K176" s="348"/>
      <c r="L176" s="348"/>
      <c r="M176" s="348"/>
      <c r="N176" s="348"/>
      <c r="O176" s="348"/>
    </row>
    <row r="177" spans="1:15" s="346" customFormat="1" ht="31.5" customHeight="1">
      <c r="A177" s="228"/>
      <c r="B177" s="242"/>
      <c r="C177" s="418">
        <v>85311</v>
      </c>
      <c r="D177" s="213"/>
      <c r="E177" s="249" t="s">
        <v>256</v>
      </c>
      <c r="F177" s="285">
        <f>F178</f>
        <v>17000</v>
      </c>
      <c r="G177" s="286"/>
      <c r="J177" s="348"/>
      <c r="K177" s="348"/>
      <c r="L177" s="348"/>
      <c r="M177" s="348"/>
      <c r="N177" s="348"/>
      <c r="O177" s="348"/>
    </row>
    <row r="178" spans="1:15" s="346" customFormat="1" ht="28.5" customHeight="1">
      <c r="A178" s="228">
        <v>100</v>
      </c>
      <c r="B178" s="242"/>
      <c r="C178" s="361"/>
      <c r="D178" s="213">
        <v>6060</v>
      </c>
      <c r="E178" s="249" t="s">
        <v>259</v>
      </c>
      <c r="F178" s="285">
        <v>17000</v>
      </c>
      <c r="G178" s="286"/>
      <c r="J178" s="348"/>
      <c r="K178" s="348"/>
      <c r="L178" s="348"/>
      <c r="M178" s="348"/>
      <c r="N178" s="348"/>
      <c r="O178" s="348"/>
    </row>
    <row r="179" spans="1:15" s="346" customFormat="1" ht="24" customHeight="1">
      <c r="A179" s="228"/>
      <c r="B179" s="214">
        <v>854</v>
      </c>
      <c r="C179" s="214"/>
      <c r="D179" s="250"/>
      <c r="E179" s="251" t="s">
        <v>196</v>
      </c>
      <c r="F179" s="304">
        <f>F180+F183</f>
        <v>27000</v>
      </c>
      <c r="G179" s="341">
        <f>G180</f>
        <v>0</v>
      </c>
      <c r="J179" s="348"/>
      <c r="K179" s="348"/>
      <c r="L179" s="348"/>
      <c r="M179" s="348"/>
      <c r="N179" s="348"/>
      <c r="O179" s="348"/>
    </row>
    <row r="180" spans="1:15" s="346" customFormat="1" ht="24" customHeight="1">
      <c r="A180" s="271"/>
      <c r="B180" s="266"/>
      <c r="C180" s="358">
        <v>85403</v>
      </c>
      <c r="D180" s="223"/>
      <c r="E180" s="224" t="s">
        <v>197</v>
      </c>
      <c r="F180" s="225">
        <f>SUM(F181:F182)</f>
        <v>13000</v>
      </c>
      <c r="G180" s="226">
        <f>G182</f>
        <v>0</v>
      </c>
      <c r="J180" s="348"/>
      <c r="K180" s="348"/>
      <c r="L180" s="348"/>
      <c r="M180" s="348"/>
      <c r="N180" s="348"/>
      <c r="O180" s="348"/>
    </row>
    <row r="181" spans="1:15" s="352" customFormat="1" ht="24" customHeight="1">
      <c r="A181" s="271">
        <v>101</v>
      </c>
      <c r="B181" s="332"/>
      <c r="C181" s="266"/>
      <c r="D181" s="229">
        <v>6060</v>
      </c>
      <c r="E181" s="230" t="s">
        <v>211</v>
      </c>
      <c r="F181" s="244">
        <v>8000</v>
      </c>
      <c r="G181" s="245"/>
      <c r="J181" s="354"/>
      <c r="K181" s="354"/>
      <c r="L181" s="354"/>
      <c r="M181" s="354"/>
      <c r="N181" s="354"/>
      <c r="O181" s="354"/>
    </row>
    <row r="182" spans="1:15" s="346" customFormat="1" ht="24" customHeight="1">
      <c r="A182" s="213">
        <v>102</v>
      </c>
      <c r="B182" s="332"/>
      <c r="C182" s="274"/>
      <c r="D182" s="322">
        <v>6060</v>
      </c>
      <c r="E182" s="249" t="s">
        <v>198</v>
      </c>
      <c r="F182" s="245">
        <v>5000</v>
      </c>
      <c r="G182" s="245">
        <v>0</v>
      </c>
      <c r="J182" s="348"/>
      <c r="K182" s="348"/>
      <c r="L182" s="348"/>
      <c r="M182" s="348"/>
      <c r="N182" s="348"/>
      <c r="O182" s="348"/>
    </row>
    <row r="183" spans="1:15" s="346" customFormat="1" ht="28.5" customHeight="1">
      <c r="A183" s="371"/>
      <c r="B183" s="242"/>
      <c r="C183" s="274">
        <v>85406</v>
      </c>
      <c r="D183" s="213"/>
      <c r="E183" s="249" t="s">
        <v>200</v>
      </c>
      <c r="F183" s="245">
        <f>F184</f>
        <v>14000</v>
      </c>
      <c r="G183" s="245"/>
      <c r="J183" s="348"/>
      <c r="K183" s="348"/>
      <c r="L183" s="348"/>
      <c r="M183" s="348"/>
      <c r="N183" s="348"/>
      <c r="O183" s="348"/>
    </row>
    <row r="184" spans="1:15" s="346" customFormat="1" ht="24" customHeight="1">
      <c r="A184" s="213">
        <v>102</v>
      </c>
      <c r="B184" s="274"/>
      <c r="C184" s="355"/>
      <c r="D184" s="213">
        <v>6060</v>
      </c>
      <c r="E184" s="249" t="s">
        <v>207</v>
      </c>
      <c r="F184" s="245">
        <v>14000</v>
      </c>
      <c r="G184" s="245"/>
      <c r="J184" s="348"/>
      <c r="K184" s="348"/>
      <c r="L184" s="348"/>
      <c r="M184" s="348"/>
      <c r="N184" s="348"/>
      <c r="O184" s="348"/>
    </row>
    <row r="185" spans="1:10" ht="28.5" customHeight="1">
      <c r="A185" s="215"/>
      <c r="B185" s="362" t="s">
        <v>12</v>
      </c>
      <c r="C185" s="363"/>
      <c r="D185" s="364"/>
      <c r="E185" s="365"/>
      <c r="F185" s="366">
        <f>F13+F133</f>
        <v>48446421.92</v>
      </c>
      <c r="G185" s="218">
        <f>G13+G133</f>
        <v>8363056.74</v>
      </c>
      <c r="I185" s="211"/>
      <c r="J185" s="212"/>
    </row>
    <row r="186" spans="1:10" ht="21.75" customHeight="1">
      <c r="A186" s="172"/>
      <c r="B186" s="367"/>
      <c r="C186" s="367"/>
      <c r="D186" s="172"/>
      <c r="F186" s="333"/>
      <c r="G186" s="333"/>
      <c r="I186" s="219"/>
      <c r="J186" s="220"/>
    </row>
    <row r="187" spans="1:10" ht="15" customHeight="1">
      <c r="A187" s="172"/>
      <c r="B187" s="163"/>
      <c r="C187" s="163"/>
      <c r="D187" s="172"/>
      <c r="F187" s="368"/>
      <c r="G187" s="368"/>
      <c r="I187" s="301"/>
      <c r="J187" s="369"/>
    </row>
    <row r="188" spans="1:10" ht="12.75">
      <c r="A188" s="172"/>
      <c r="B188" s="163"/>
      <c r="C188" s="163"/>
      <c r="D188" s="172"/>
      <c r="F188" s="368"/>
      <c r="G188" s="368"/>
      <c r="H188" s="301"/>
      <c r="I188" s="301"/>
      <c r="J188" s="299"/>
    </row>
    <row r="189" spans="6:10" ht="12.75">
      <c r="F189" s="368"/>
      <c r="G189" s="368"/>
      <c r="I189" s="301"/>
      <c r="J189" s="299"/>
    </row>
    <row r="190" spans="6:10" ht="12.75">
      <c r="F190" s="368"/>
      <c r="G190" s="368"/>
      <c r="I190" s="301"/>
      <c r="J190" s="299"/>
    </row>
    <row r="191" spans="6:10" ht="12.75">
      <c r="F191" s="368"/>
      <c r="G191" s="368"/>
      <c r="I191" s="301"/>
      <c r="J191" s="299"/>
    </row>
    <row r="192" spans="6:10" ht="12.75">
      <c r="F192" s="368"/>
      <c r="G192" s="368"/>
      <c r="I192" s="301"/>
      <c r="J192" s="299"/>
    </row>
    <row r="193" spans="6:10" ht="12.75">
      <c r="F193" s="368"/>
      <c r="G193" s="368"/>
      <c r="I193" s="301"/>
      <c r="J193" s="299"/>
    </row>
    <row r="194" spans="6:7" ht="12.75">
      <c r="F194" s="368"/>
      <c r="G194" s="368"/>
    </row>
    <row r="195" spans="6:7" ht="12.75">
      <c r="F195" s="368"/>
      <c r="G195" s="368"/>
    </row>
    <row r="196" spans="6:7" ht="12.75">
      <c r="F196" s="370"/>
      <c r="G196" s="368"/>
    </row>
    <row r="197" spans="6:7" ht="12.75">
      <c r="F197" s="368"/>
      <c r="G197" s="368"/>
    </row>
    <row r="198" spans="6:7" ht="12.75">
      <c r="F198" s="368"/>
      <c r="G198" s="368"/>
    </row>
    <row r="199" spans="6:7" ht="12.75">
      <c r="F199" s="368"/>
      <c r="G199" s="368"/>
    </row>
    <row r="200" ht="12.75">
      <c r="F200" s="368"/>
    </row>
    <row r="201" ht="12.75">
      <c r="F201" s="368"/>
    </row>
    <row r="202" ht="12.75">
      <c r="F202" s="368"/>
    </row>
    <row r="203" spans="6:7" ht="12.75">
      <c r="F203" s="368"/>
      <c r="G203" s="368"/>
    </row>
    <row r="204" ht="12.75">
      <c r="F204" s="368"/>
    </row>
    <row r="205" ht="12.75">
      <c r="F205" s="368"/>
    </row>
    <row r="206" ht="12.75">
      <c r="F206" s="368"/>
    </row>
  </sheetData>
  <sheetProtection/>
  <mergeCells count="4">
    <mergeCell ref="A82:A83"/>
    <mergeCell ref="E82:E83"/>
    <mergeCell ref="A118:A120"/>
    <mergeCell ref="E118:E120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70">
      <selection activeCell="D72" sqref="D72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41.140625" style="142" customWidth="1"/>
    <col min="4" max="4" width="16.140625" style="4" customWidth="1"/>
    <col min="5" max="6" width="9.140625" style="2" customWidth="1"/>
    <col min="7" max="7" width="20.140625" style="2" customWidth="1"/>
    <col min="8" max="16384" width="9.140625" style="2" customWidth="1"/>
  </cols>
  <sheetData>
    <row r="1" ht="19.5" customHeight="1">
      <c r="C1" s="459" t="s">
        <v>441</v>
      </c>
    </row>
    <row r="2" ht="19.5" customHeight="1">
      <c r="C2" s="460" t="s">
        <v>199</v>
      </c>
    </row>
    <row r="3" ht="15" customHeight="1">
      <c r="C3" s="460" t="s">
        <v>46</v>
      </c>
    </row>
    <row r="4" ht="17.25" customHeight="1">
      <c r="C4" s="175" t="s">
        <v>442</v>
      </c>
    </row>
    <row r="5" ht="14.25" customHeight="1">
      <c r="C5" s="460"/>
    </row>
    <row r="6" ht="14.25" customHeight="1">
      <c r="C6" s="460"/>
    </row>
    <row r="7" spans="1:4" s="26" customFormat="1" ht="19.5" customHeight="1">
      <c r="A7" s="461" t="s">
        <v>362</v>
      </c>
      <c r="B7" s="462"/>
      <c r="C7" s="176"/>
      <c r="D7" s="4"/>
    </row>
    <row r="8" spans="1:4" s="26" customFormat="1" ht="19.5" customHeight="1">
      <c r="A8" s="461" t="s">
        <v>459</v>
      </c>
      <c r="B8" s="462"/>
      <c r="C8" s="176"/>
      <c r="D8" s="4"/>
    </row>
    <row r="9" spans="1:3" ht="18.75" customHeight="1">
      <c r="A9" s="461" t="s">
        <v>460</v>
      </c>
      <c r="B9" s="34"/>
      <c r="C9" s="176"/>
    </row>
    <row r="10" spans="1:2" ht="13.5">
      <c r="A10" s="87" t="s">
        <v>3</v>
      </c>
      <c r="B10" s="463"/>
    </row>
    <row r="11" spans="3:4" ht="11.25" customHeight="1">
      <c r="C11" s="464"/>
      <c r="D11" s="465" t="s">
        <v>78</v>
      </c>
    </row>
    <row r="12" spans="1:4" ht="33" customHeight="1">
      <c r="A12" s="355" t="s">
        <v>13</v>
      </c>
      <c r="B12" s="355" t="s">
        <v>365</v>
      </c>
      <c r="C12" s="213" t="s">
        <v>366</v>
      </c>
      <c r="D12" s="466" t="s">
        <v>367</v>
      </c>
    </row>
    <row r="13" spans="1:4" s="34" customFormat="1" ht="22.5" customHeight="1">
      <c r="A13" s="467" t="s">
        <v>368</v>
      </c>
      <c r="B13" s="468"/>
      <c r="C13" s="469"/>
      <c r="D13" s="470">
        <f>D14+D20</f>
        <v>9574072.75</v>
      </c>
    </row>
    <row r="14" spans="1:4" s="34" customFormat="1" ht="24.75" customHeight="1">
      <c r="A14" s="471" t="s">
        <v>369</v>
      </c>
      <c r="B14" s="472"/>
      <c r="C14" s="473"/>
      <c r="D14" s="470">
        <f>D15</f>
        <v>2840088</v>
      </c>
    </row>
    <row r="15" spans="1:4" s="34" customFormat="1" ht="30" customHeight="1">
      <c r="A15" s="214">
        <v>801</v>
      </c>
      <c r="B15" s="318" t="s">
        <v>108</v>
      </c>
      <c r="C15" s="474"/>
      <c r="D15" s="376">
        <f>SUM(D16:D19)</f>
        <v>2840088</v>
      </c>
    </row>
    <row r="16" spans="1:4" s="34" customFormat="1" ht="30" customHeight="1">
      <c r="A16" s="475"/>
      <c r="B16" s="476"/>
      <c r="C16" s="249" t="s">
        <v>370</v>
      </c>
      <c r="D16" s="590">
        <f>91600+117248-30000-2500+31000+19410</f>
        <v>226758</v>
      </c>
    </row>
    <row r="17" spans="1:4" s="34" customFormat="1" ht="29.25" customHeight="1">
      <c r="A17" s="478"/>
      <c r="B17" s="476"/>
      <c r="C17" s="249" t="s">
        <v>371</v>
      </c>
      <c r="D17" s="590">
        <f>90000+110000+110000+1350000+100000+510000+568000-21500-41700-508000-35000-510000+10000-184300-16000-3800+7400</f>
        <v>1535100</v>
      </c>
    </row>
    <row r="18" spans="1:7" s="34" customFormat="1" ht="33" customHeight="1">
      <c r="A18" s="478"/>
      <c r="B18" s="476"/>
      <c r="C18" s="249" t="s">
        <v>372</v>
      </c>
      <c r="D18" s="590">
        <f>304600+461200-50000-120000-10000-37000-7770+1000</f>
        <v>542030</v>
      </c>
      <c r="G18" s="3"/>
    </row>
    <row r="19" spans="1:4" s="34" customFormat="1" ht="33" customHeight="1">
      <c r="A19" s="479"/>
      <c r="B19" s="476"/>
      <c r="C19" s="249" t="s">
        <v>373</v>
      </c>
      <c r="D19" s="480">
        <f>21500+41700+508000-25000-10000</f>
        <v>536200</v>
      </c>
    </row>
    <row r="20" spans="1:4" s="34" customFormat="1" ht="24.75" customHeight="1">
      <c r="A20" s="471" t="s">
        <v>374</v>
      </c>
      <c r="B20" s="472"/>
      <c r="C20" s="473"/>
      <c r="D20" s="481">
        <f>D21+D23+D26+D37+D43+D52+D56+D62</f>
        <v>6733984.75</v>
      </c>
    </row>
    <row r="21" spans="1:4" s="34" customFormat="1" ht="35.25" customHeight="1">
      <c r="A21" s="214">
        <v>754</v>
      </c>
      <c r="B21" s="318" t="s">
        <v>101</v>
      </c>
      <c r="C21" s="249"/>
      <c r="D21" s="481">
        <f>D22</f>
        <v>20000</v>
      </c>
    </row>
    <row r="22" spans="1:4" s="34" customFormat="1" ht="35.25" customHeight="1">
      <c r="A22" s="482"/>
      <c r="B22" s="316"/>
      <c r="C22" s="249" t="s">
        <v>104</v>
      </c>
      <c r="D22" s="477">
        <v>20000</v>
      </c>
    </row>
    <row r="23" spans="1:4" s="34" customFormat="1" ht="25.5" customHeight="1">
      <c r="A23" s="283">
        <v>801</v>
      </c>
      <c r="B23" s="483" t="s">
        <v>108</v>
      </c>
      <c r="C23" s="484"/>
      <c r="D23" s="485">
        <f>D24+D25</f>
        <v>13444.75</v>
      </c>
    </row>
    <row r="24" spans="1:4" s="34" customFormat="1" ht="35.25" customHeight="1">
      <c r="A24" s="486"/>
      <c r="B24" s="487"/>
      <c r="C24" s="488" t="s">
        <v>375</v>
      </c>
      <c r="D24" s="489">
        <f>6242.12+2054.25</f>
        <v>8296.369999999999</v>
      </c>
    </row>
    <row r="25" spans="1:4" s="34" customFormat="1" ht="35.25" customHeight="1">
      <c r="A25" s="490"/>
      <c r="B25" s="491"/>
      <c r="C25" s="488" t="s">
        <v>376</v>
      </c>
      <c r="D25" s="489">
        <f>5148.38</f>
        <v>5148.38</v>
      </c>
    </row>
    <row r="26" spans="1:4" s="34" customFormat="1" ht="27" customHeight="1">
      <c r="A26" s="287">
        <v>851</v>
      </c>
      <c r="B26" s="492" t="s">
        <v>377</v>
      </c>
      <c r="C26" s="493"/>
      <c r="D26" s="494">
        <f>SUM(D27:D36)</f>
        <v>976000</v>
      </c>
    </row>
    <row r="27" spans="1:4" s="34" customFormat="1" ht="39" customHeight="1">
      <c r="A27" s="272"/>
      <c r="B27" s="495"/>
      <c r="C27" s="249" t="s">
        <v>378</v>
      </c>
      <c r="D27" s="477">
        <v>90000</v>
      </c>
    </row>
    <row r="28" spans="1:4" s="34" customFormat="1" ht="33.75" customHeight="1">
      <c r="A28" s="283"/>
      <c r="B28" s="496"/>
      <c r="C28" s="249" t="s">
        <v>379</v>
      </c>
      <c r="D28" s="477">
        <v>440000</v>
      </c>
    </row>
    <row r="29" spans="1:4" s="34" customFormat="1" ht="44.25" customHeight="1">
      <c r="A29" s="283"/>
      <c r="B29" s="497"/>
      <c r="C29" s="249" t="s">
        <v>380</v>
      </c>
      <c r="D29" s="477">
        <v>50000</v>
      </c>
    </row>
    <row r="30" spans="1:4" s="34" customFormat="1" ht="32.25" customHeight="1">
      <c r="A30" s="283"/>
      <c r="B30" s="497"/>
      <c r="C30" s="249" t="s">
        <v>381</v>
      </c>
      <c r="D30" s="477">
        <v>10000</v>
      </c>
    </row>
    <row r="31" spans="1:4" s="34" customFormat="1" ht="54.75" customHeight="1">
      <c r="A31" s="283"/>
      <c r="B31" s="497"/>
      <c r="C31" s="249" t="s">
        <v>382</v>
      </c>
      <c r="D31" s="477">
        <v>120000</v>
      </c>
    </row>
    <row r="32" spans="1:4" s="34" customFormat="1" ht="36" customHeight="1">
      <c r="A32" s="283"/>
      <c r="B32" s="497"/>
      <c r="C32" s="249" t="s">
        <v>383</v>
      </c>
      <c r="D32" s="477">
        <v>40000</v>
      </c>
    </row>
    <row r="33" spans="1:4" s="34" customFormat="1" ht="27.75" customHeight="1">
      <c r="A33" s="283"/>
      <c r="B33" s="497"/>
      <c r="C33" s="249" t="s">
        <v>384</v>
      </c>
      <c r="D33" s="477">
        <v>101000</v>
      </c>
    </row>
    <row r="34" spans="1:4" s="34" customFormat="1" ht="31.5" customHeight="1">
      <c r="A34" s="283"/>
      <c r="B34" s="497"/>
      <c r="C34" s="249" t="s">
        <v>385</v>
      </c>
      <c r="D34" s="477">
        <v>90000</v>
      </c>
    </row>
    <row r="35" spans="1:4" s="34" customFormat="1" ht="33.75" customHeight="1">
      <c r="A35" s="283"/>
      <c r="B35" s="497"/>
      <c r="C35" s="249" t="s">
        <v>386</v>
      </c>
      <c r="D35" s="477">
        <v>25000</v>
      </c>
    </row>
    <row r="36" spans="1:4" s="34" customFormat="1" ht="23.25" customHeight="1">
      <c r="A36" s="283"/>
      <c r="B36" s="497"/>
      <c r="C36" s="484" t="s">
        <v>387</v>
      </c>
      <c r="D36" s="498">
        <v>10000</v>
      </c>
    </row>
    <row r="37" spans="1:4" s="34" customFormat="1" ht="21" customHeight="1">
      <c r="A37" s="272">
        <v>852</v>
      </c>
      <c r="B37" s="499" t="s">
        <v>193</v>
      </c>
      <c r="C37" s="493"/>
      <c r="D37" s="500">
        <f>SUM(D38:D42)</f>
        <v>1629640</v>
      </c>
    </row>
    <row r="38" spans="1:4" s="34" customFormat="1" ht="37.5" customHeight="1">
      <c r="A38" s="501"/>
      <c r="B38" s="502"/>
      <c r="C38" s="197" t="s">
        <v>388</v>
      </c>
      <c r="D38" s="477">
        <f>1056000+86000</f>
        <v>1142000</v>
      </c>
    </row>
    <row r="39" spans="1:4" s="34" customFormat="1" ht="27" customHeight="1">
      <c r="A39" s="265"/>
      <c r="B39" s="503"/>
      <c r="C39" s="504" t="s">
        <v>389</v>
      </c>
      <c r="D39" s="477">
        <v>210000</v>
      </c>
    </row>
    <row r="40" spans="1:4" s="34" customFormat="1" ht="38.25" customHeight="1">
      <c r="A40" s="265"/>
      <c r="B40" s="503"/>
      <c r="C40" s="504" t="s">
        <v>390</v>
      </c>
      <c r="D40" s="477">
        <v>85000</v>
      </c>
    </row>
    <row r="41" spans="1:4" s="34" customFormat="1" ht="38.25" customHeight="1">
      <c r="A41" s="265"/>
      <c r="B41" s="503"/>
      <c r="C41" s="504" t="s">
        <v>391</v>
      </c>
      <c r="D41" s="477">
        <v>40000</v>
      </c>
    </row>
    <row r="42" spans="1:4" s="34" customFormat="1" ht="38.25" customHeight="1">
      <c r="A42" s="265"/>
      <c r="B42" s="503"/>
      <c r="C42" s="504" t="s">
        <v>392</v>
      </c>
      <c r="D42" s="477">
        <f>30000+122640</f>
        <v>152640</v>
      </c>
    </row>
    <row r="43" spans="1:4" s="34" customFormat="1" ht="34.5" customHeight="1">
      <c r="A43" s="214">
        <v>853</v>
      </c>
      <c r="B43" s="505" t="s">
        <v>129</v>
      </c>
      <c r="C43" s="506"/>
      <c r="D43" s="376">
        <f>SUM(D44:D51)</f>
        <v>413900</v>
      </c>
    </row>
    <row r="44" spans="1:4" s="34" customFormat="1" ht="30" customHeight="1">
      <c r="A44" s="265"/>
      <c r="B44" s="503"/>
      <c r="C44" s="506" t="s">
        <v>393</v>
      </c>
      <c r="D44" s="477">
        <f>96000-20000</f>
        <v>76000</v>
      </c>
    </row>
    <row r="45" spans="1:4" s="34" customFormat="1" ht="30" customHeight="1">
      <c r="A45" s="265"/>
      <c r="B45" s="503"/>
      <c r="C45" s="507" t="s">
        <v>394</v>
      </c>
      <c r="D45" s="477">
        <v>72000</v>
      </c>
    </row>
    <row r="46" spans="1:4" s="34" customFormat="1" ht="30" customHeight="1">
      <c r="A46" s="265"/>
      <c r="B46" s="503"/>
      <c r="C46" s="507" t="s">
        <v>395</v>
      </c>
      <c r="D46" s="477">
        <v>19800</v>
      </c>
    </row>
    <row r="47" spans="1:4" s="34" customFormat="1" ht="30.75" customHeight="1">
      <c r="A47" s="265"/>
      <c r="B47" s="503"/>
      <c r="C47" s="507" t="s">
        <v>396</v>
      </c>
      <c r="D47" s="477">
        <v>24000</v>
      </c>
    </row>
    <row r="48" spans="1:4" s="34" customFormat="1" ht="30.75" customHeight="1">
      <c r="A48" s="265"/>
      <c r="B48" s="503"/>
      <c r="C48" s="504" t="s">
        <v>397</v>
      </c>
      <c r="D48" s="477">
        <v>18500</v>
      </c>
    </row>
    <row r="49" spans="1:4" s="34" customFormat="1" ht="30.75" customHeight="1">
      <c r="A49" s="265"/>
      <c r="B49" s="503"/>
      <c r="C49" s="504" t="s">
        <v>398</v>
      </c>
      <c r="D49" s="477">
        <v>30000</v>
      </c>
    </row>
    <row r="50" spans="1:4" s="34" customFormat="1" ht="46.5" customHeight="1">
      <c r="A50" s="265"/>
      <c r="B50" s="483"/>
      <c r="C50" s="506" t="s">
        <v>399</v>
      </c>
      <c r="D50" s="477">
        <f>29333.5+5176.5+27066.77+4776.5-15090.27-2663</f>
        <v>48600</v>
      </c>
    </row>
    <row r="51" spans="1:4" s="34" customFormat="1" ht="42" customHeight="1">
      <c r="A51" s="265"/>
      <c r="B51" s="483"/>
      <c r="C51" s="506" t="s">
        <v>400</v>
      </c>
      <c r="D51" s="477">
        <v>125000</v>
      </c>
    </row>
    <row r="52" spans="1:4" s="34" customFormat="1" ht="38.25" customHeight="1">
      <c r="A52" s="214">
        <v>900</v>
      </c>
      <c r="B52" s="505" t="s">
        <v>401</v>
      </c>
      <c r="C52" s="508"/>
      <c r="D52" s="470">
        <f>SUM(D53:D55)</f>
        <v>982000</v>
      </c>
    </row>
    <row r="53" spans="1:4" s="34" customFormat="1" ht="51.75" customHeight="1">
      <c r="A53" s="509"/>
      <c r="B53" s="510"/>
      <c r="C53" s="511" t="s">
        <v>402</v>
      </c>
      <c r="D53" s="477">
        <v>282000</v>
      </c>
    </row>
    <row r="54" spans="1:4" s="161" customFormat="1" ht="36" customHeight="1">
      <c r="A54" s="332"/>
      <c r="B54" s="512"/>
      <c r="C54" s="513" t="s">
        <v>403</v>
      </c>
      <c r="D54" s="514">
        <v>30000</v>
      </c>
    </row>
    <row r="55" spans="1:4" s="34" customFormat="1" ht="40.5" customHeight="1">
      <c r="A55" s="515"/>
      <c r="B55" s="516"/>
      <c r="C55" s="513" t="s">
        <v>404</v>
      </c>
      <c r="D55" s="477">
        <f>150000+500000+20000</f>
        <v>670000</v>
      </c>
    </row>
    <row r="56" spans="1:4" s="34" customFormat="1" ht="39" customHeight="1">
      <c r="A56" s="272">
        <v>921</v>
      </c>
      <c r="B56" s="517" t="s">
        <v>161</v>
      </c>
      <c r="C56" s="505"/>
      <c r="D56" s="470">
        <f>SUM(D57:D61)</f>
        <v>154000</v>
      </c>
    </row>
    <row r="57" spans="1:4" s="34" customFormat="1" ht="42.75" customHeight="1">
      <c r="A57" s="509"/>
      <c r="B57" s="510"/>
      <c r="C57" s="488" t="s">
        <v>405</v>
      </c>
      <c r="D57" s="477">
        <v>50000</v>
      </c>
    </row>
    <row r="58" spans="1:4" s="34" customFormat="1" ht="42" customHeight="1">
      <c r="A58" s="332"/>
      <c r="B58" s="512"/>
      <c r="C58" s="488" t="s">
        <v>406</v>
      </c>
      <c r="D58" s="477">
        <v>10000</v>
      </c>
    </row>
    <row r="59" spans="1:4" s="34" customFormat="1" ht="33" customHeight="1">
      <c r="A59" s="332"/>
      <c r="B59" s="512"/>
      <c r="C59" s="518" t="s">
        <v>407</v>
      </c>
      <c r="D59" s="477">
        <v>9000</v>
      </c>
    </row>
    <row r="60" spans="1:4" s="34" customFormat="1" ht="31.5" customHeight="1">
      <c r="A60" s="332"/>
      <c r="B60" s="512"/>
      <c r="C60" s="519" t="s">
        <v>408</v>
      </c>
      <c r="D60" s="477">
        <f>45000-10000</f>
        <v>35000</v>
      </c>
    </row>
    <row r="61" spans="1:4" s="34" customFormat="1" ht="35.25" customHeight="1">
      <c r="A61" s="515"/>
      <c r="B61" s="516"/>
      <c r="C61" s="519" t="s">
        <v>409</v>
      </c>
      <c r="D61" s="477">
        <v>50000</v>
      </c>
    </row>
    <row r="62" spans="1:4" s="34" customFormat="1" ht="34.5" customHeight="1">
      <c r="A62" s="287">
        <v>926</v>
      </c>
      <c r="B62" s="520" t="s">
        <v>410</v>
      </c>
      <c r="C62" s="508"/>
      <c r="D62" s="470">
        <f>SUM(D63:D65)</f>
        <v>2545000</v>
      </c>
    </row>
    <row r="63" spans="1:4" s="154" customFormat="1" ht="42.75" customHeight="1">
      <c r="A63" s="332"/>
      <c r="B63" s="242"/>
      <c r="C63" s="521" t="s">
        <v>411</v>
      </c>
      <c r="D63" s="477">
        <f>2400000+15000</f>
        <v>2415000</v>
      </c>
    </row>
    <row r="64" spans="1:4" s="154" customFormat="1" ht="38.25" customHeight="1">
      <c r="A64" s="522"/>
      <c r="B64" s="315"/>
      <c r="C64" s="523" t="s">
        <v>412</v>
      </c>
      <c r="D64" s="477">
        <v>115000</v>
      </c>
    </row>
    <row r="65" spans="1:4" s="34" customFormat="1" ht="29.25" customHeight="1">
      <c r="A65" s="522"/>
      <c r="B65" s="315"/>
      <c r="C65" s="524" t="s">
        <v>413</v>
      </c>
      <c r="D65" s="477">
        <v>15000</v>
      </c>
    </row>
    <row r="66" spans="1:4" s="34" customFormat="1" ht="30" customHeight="1">
      <c r="A66" s="525" t="s">
        <v>414</v>
      </c>
      <c r="B66" s="526"/>
      <c r="C66" s="527"/>
      <c r="D66" s="500">
        <f>D67+D77</f>
        <v>6766589.880000001</v>
      </c>
    </row>
    <row r="67" spans="1:4" s="34" customFormat="1" ht="27" customHeight="1">
      <c r="A67" s="528" t="s">
        <v>369</v>
      </c>
      <c r="B67" s="529"/>
      <c r="C67" s="530"/>
      <c r="D67" s="531">
        <f>D68+D73+D75</f>
        <v>6392697.100000001</v>
      </c>
    </row>
    <row r="68" spans="1:4" s="34" customFormat="1" ht="23.25" customHeight="1">
      <c r="A68" s="532">
        <v>801</v>
      </c>
      <c r="B68" s="318" t="s">
        <v>108</v>
      </c>
      <c r="C68" s="249"/>
      <c r="D68" s="376">
        <f>SUM(D69:D72)</f>
        <v>4556205.36</v>
      </c>
    </row>
    <row r="69" spans="1:4" s="34" customFormat="1" ht="30" customHeight="1">
      <c r="A69" s="533"/>
      <c r="B69" s="262"/>
      <c r="C69" s="249" t="s">
        <v>415</v>
      </c>
      <c r="D69" s="590">
        <f>1700000-220000-83000-63200-25100-29150+2000</f>
        <v>1281550</v>
      </c>
    </row>
    <row r="70" spans="1:4" s="34" customFormat="1" ht="30" customHeight="1">
      <c r="A70" s="533"/>
      <c r="B70" s="262"/>
      <c r="C70" s="249" t="s">
        <v>416</v>
      </c>
      <c r="D70" s="477">
        <f>350000-20942-11000</f>
        <v>318058</v>
      </c>
    </row>
    <row r="71" spans="1:4" s="34" customFormat="1" ht="31.5" customHeight="1">
      <c r="A71" s="533"/>
      <c r="B71" s="262"/>
      <c r="C71" s="249" t="s">
        <v>417</v>
      </c>
      <c r="D71" s="590">
        <f>2900000-290000-130000+280000+10130+3310-10800+179996</f>
        <v>2942636</v>
      </c>
    </row>
    <row r="72" spans="1:4" s="34" customFormat="1" ht="31.5" customHeight="1">
      <c r="A72" s="533"/>
      <c r="B72" s="262"/>
      <c r="C72" s="249" t="s">
        <v>418</v>
      </c>
      <c r="D72" s="477">
        <f>20942-6980.64</f>
        <v>13961.36</v>
      </c>
    </row>
    <row r="73" spans="1:4" s="34" customFormat="1" ht="39" customHeight="1">
      <c r="A73" s="272">
        <v>853</v>
      </c>
      <c r="B73" s="534" t="s">
        <v>129</v>
      </c>
      <c r="C73" s="535"/>
      <c r="D73" s="470">
        <f>SUM(D74:D74)</f>
        <v>310931.74</v>
      </c>
    </row>
    <row r="74" spans="1:4" s="174" customFormat="1" ht="37.5" customHeight="1">
      <c r="A74" s="501"/>
      <c r="B74" s="536"/>
      <c r="C74" s="519" t="s">
        <v>419</v>
      </c>
      <c r="D74" s="477">
        <f>310748+870.36-686.62</f>
        <v>310931.74</v>
      </c>
    </row>
    <row r="75" spans="1:4" s="34" customFormat="1" ht="31.5" customHeight="1">
      <c r="A75" s="214">
        <v>854</v>
      </c>
      <c r="B75" s="318" t="s">
        <v>196</v>
      </c>
      <c r="C75" s="249"/>
      <c r="D75" s="537">
        <f>D76</f>
        <v>1525560</v>
      </c>
    </row>
    <row r="76" spans="1:4" s="34" customFormat="1" ht="43.5" customHeight="1">
      <c r="A76" s="538"/>
      <c r="B76" s="539"/>
      <c r="C76" s="249" t="s">
        <v>420</v>
      </c>
      <c r="D76" s="477">
        <f>1500000+25560</f>
        <v>1525560</v>
      </c>
    </row>
    <row r="77" spans="1:4" s="34" customFormat="1" ht="29.25" customHeight="1">
      <c r="A77" s="471" t="s">
        <v>374</v>
      </c>
      <c r="B77" s="540"/>
      <c r="C77" s="541"/>
      <c r="D77" s="542">
        <f>D78+D81+D84</f>
        <v>373892.78</v>
      </c>
    </row>
    <row r="78" spans="1:4" s="34" customFormat="1" ht="34.5" customHeight="1">
      <c r="A78" s="283">
        <v>630</v>
      </c>
      <c r="B78" s="543" t="s">
        <v>176</v>
      </c>
      <c r="C78" s="544" t="s">
        <v>3</v>
      </c>
      <c r="D78" s="470">
        <f>SUM(D79:D80)</f>
        <v>91000</v>
      </c>
    </row>
    <row r="79" spans="1:4" s="34" customFormat="1" ht="36.75" customHeight="1">
      <c r="A79" s="501"/>
      <c r="B79" s="545"/>
      <c r="C79" s="546" t="s">
        <v>421</v>
      </c>
      <c r="D79" s="477">
        <f>60000-9000</f>
        <v>51000</v>
      </c>
    </row>
    <row r="80" spans="1:4" s="34" customFormat="1" ht="30" customHeight="1">
      <c r="A80" s="332"/>
      <c r="B80" s="547"/>
      <c r="C80" s="511" t="s">
        <v>422</v>
      </c>
      <c r="D80" s="477">
        <v>40000</v>
      </c>
    </row>
    <row r="81" spans="1:4" s="34" customFormat="1" ht="26.25" customHeight="1">
      <c r="A81" s="214">
        <v>852</v>
      </c>
      <c r="B81" s="548" t="s">
        <v>193</v>
      </c>
      <c r="C81" s="535"/>
      <c r="D81" s="470">
        <f>SUM(D82:D83)</f>
        <v>207000</v>
      </c>
    </row>
    <row r="82" spans="1:4" s="34" customFormat="1" ht="40.5" customHeight="1">
      <c r="A82" s="315"/>
      <c r="B82" s="315"/>
      <c r="C82" s="535" t="s">
        <v>423</v>
      </c>
      <c r="D82" s="477">
        <v>200000</v>
      </c>
    </row>
    <row r="83" spans="1:4" s="34" customFormat="1" ht="40.5" customHeight="1">
      <c r="A83" s="315"/>
      <c r="B83" s="315"/>
      <c r="C83" s="535" t="s">
        <v>424</v>
      </c>
      <c r="D83" s="498">
        <v>7000</v>
      </c>
    </row>
    <row r="84" spans="1:7" s="34" customFormat="1" ht="38.25" customHeight="1">
      <c r="A84" s="272">
        <v>853</v>
      </c>
      <c r="B84" s="534" t="s">
        <v>129</v>
      </c>
      <c r="C84" s="535"/>
      <c r="D84" s="549">
        <f>SUM(D85)</f>
        <v>75892.78</v>
      </c>
      <c r="G84" s="3"/>
    </row>
    <row r="85" spans="1:7" s="34" customFormat="1" ht="37.5" customHeight="1">
      <c r="A85" s="316"/>
      <c r="B85" s="316"/>
      <c r="C85" s="535" t="s">
        <v>425</v>
      </c>
      <c r="D85" s="477">
        <f>5892.78+70000</f>
        <v>75892.78</v>
      </c>
      <c r="G85" s="3"/>
    </row>
    <row r="86" spans="1:7" s="34" customFormat="1" ht="24.75" customHeight="1">
      <c r="A86" s="610" t="s">
        <v>426</v>
      </c>
      <c r="B86" s="611"/>
      <c r="C86" s="612"/>
      <c r="D86" s="550">
        <f>D13+D66</f>
        <v>16340662.63</v>
      </c>
      <c r="G86" s="3"/>
    </row>
    <row r="87" spans="3:7" s="34" customFormat="1" ht="12.75">
      <c r="C87" s="176"/>
      <c r="D87" s="551"/>
      <c r="G87" s="3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</sheetData>
  <sheetProtection/>
  <mergeCells count="1">
    <mergeCell ref="A86:C8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57421875" style="2" customWidth="1"/>
    <col min="2" max="2" width="21.28125" style="2" customWidth="1"/>
    <col min="3" max="3" width="52.7109375" style="2" customWidth="1"/>
    <col min="4" max="4" width="18.7109375" style="2" customWidth="1"/>
    <col min="5" max="5" width="8.8515625" style="2" customWidth="1"/>
    <col min="6" max="6" width="16.00390625" style="2" customWidth="1"/>
    <col min="7" max="16384" width="9.140625" style="2" customWidth="1"/>
  </cols>
  <sheetData>
    <row r="1" spans="3:6" ht="18.75" customHeight="1">
      <c r="C1" s="459" t="s">
        <v>443</v>
      </c>
      <c r="F1" s="552"/>
    </row>
    <row r="2" spans="3:6" ht="19.5" customHeight="1">
      <c r="C2" s="460" t="s">
        <v>199</v>
      </c>
      <c r="F2" s="460"/>
    </row>
    <row r="3" spans="3:6" ht="19.5" customHeight="1">
      <c r="C3" s="460" t="s">
        <v>46</v>
      </c>
      <c r="F3" s="460"/>
    </row>
    <row r="4" spans="3:6" ht="19.5" customHeight="1">
      <c r="C4" s="175" t="s">
        <v>339</v>
      </c>
      <c r="F4" s="66"/>
    </row>
    <row r="5" spans="3:6" ht="19.5" customHeight="1">
      <c r="C5" s="175"/>
      <c r="F5" s="66"/>
    </row>
    <row r="6" ht="18" customHeight="1">
      <c r="C6" s="553"/>
    </row>
    <row r="7" spans="1:3" s="26" customFormat="1" ht="17.25" customHeight="1">
      <c r="A7" s="461" t="s">
        <v>427</v>
      </c>
      <c r="B7" s="554"/>
      <c r="C7" s="555"/>
    </row>
    <row r="8" spans="1:3" s="26" customFormat="1" ht="17.25" customHeight="1">
      <c r="A8" s="461" t="s">
        <v>363</v>
      </c>
      <c r="B8" s="554"/>
      <c r="C8" s="555"/>
    </row>
    <row r="9" spans="1:3" s="26" customFormat="1" ht="17.25" customHeight="1">
      <c r="A9" s="461" t="s">
        <v>364</v>
      </c>
      <c r="B9" s="554"/>
      <c r="C9" s="555"/>
    </row>
    <row r="10" spans="1:3" s="26" customFormat="1" ht="17.25" customHeight="1">
      <c r="A10" s="461"/>
      <c r="B10" s="554"/>
      <c r="C10" s="555"/>
    </row>
    <row r="11" spans="1:2" ht="18.75">
      <c r="A11" s="556"/>
      <c r="B11" s="463"/>
    </row>
    <row r="12" spans="3:4" ht="19.5" customHeight="1">
      <c r="C12" s="557"/>
      <c r="D12" s="465" t="s">
        <v>78</v>
      </c>
    </row>
    <row r="13" spans="1:4" ht="33" customHeight="1">
      <c r="A13" s="355" t="s">
        <v>13</v>
      </c>
      <c r="B13" s="355" t="s">
        <v>365</v>
      </c>
      <c r="C13" s="355" t="s">
        <v>366</v>
      </c>
      <c r="D13" s="466" t="s">
        <v>367</v>
      </c>
    </row>
    <row r="14" spans="1:4" ht="28.5" customHeight="1">
      <c r="A14" s="525" t="s">
        <v>368</v>
      </c>
      <c r="B14" s="558"/>
      <c r="C14" s="559"/>
      <c r="D14" s="560">
        <f>D15+D19+D22</f>
        <v>16198856.13</v>
      </c>
    </row>
    <row r="15" spans="1:4" s="564" customFormat="1" ht="29.25" customHeight="1">
      <c r="A15" s="528" t="s">
        <v>428</v>
      </c>
      <c r="B15" s="561"/>
      <c r="C15" s="562"/>
      <c r="D15" s="563">
        <f>D16</f>
        <v>4890000</v>
      </c>
    </row>
    <row r="16" spans="1:4" ht="31.5" customHeight="1">
      <c r="A16" s="565">
        <v>921</v>
      </c>
      <c r="B16" s="566" t="s">
        <v>161</v>
      </c>
      <c r="C16" s="339"/>
      <c r="D16" s="560">
        <f>D17+D18</f>
        <v>4890000</v>
      </c>
    </row>
    <row r="17" spans="1:4" ht="30.75" customHeight="1">
      <c r="A17" s="191"/>
      <c r="B17" s="567"/>
      <c r="C17" s="568" t="s">
        <v>429</v>
      </c>
      <c r="D17" s="477">
        <v>3500000</v>
      </c>
    </row>
    <row r="18" spans="1:4" ht="30" customHeight="1">
      <c r="A18" s="569"/>
      <c r="B18" s="570"/>
      <c r="C18" s="568" t="s">
        <v>430</v>
      </c>
      <c r="D18" s="477">
        <f>1200000+100000+90000</f>
        <v>1390000</v>
      </c>
    </row>
    <row r="19" spans="1:4" ht="31.5" customHeight="1">
      <c r="A19" s="528" t="s">
        <v>431</v>
      </c>
      <c r="B19" s="571"/>
      <c r="C19" s="508"/>
      <c r="D19" s="563">
        <f>D20</f>
        <v>11292633.63</v>
      </c>
    </row>
    <row r="20" spans="1:4" ht="33" customHeight="1">
      <c r="A20" s="215">
        <v>600</v>
      </c>
      <c r="B20" s="548" t="s">
        <v>85</v>
      </c>
      <c r="C20" s="568"/>
      <c r="D20" s="560">
        <f>D21</f>
        <v>11292633.63</v>
      </c>
    </row>
    <row r="21" spans="1:6" ht="34.5" customHeight="1">
      <c r="A21" s="572"/>
      <c r="B21" s="573"/>
      <c r="C21" s="511" t="s">
        <v>432</v>
      </c>
      <c r="D21" s="477">
        <f>11269646.05+5542.46+17445.12</f>
        <v>11292633.63</v>
      </c>
      <c r="F21" s="4"/>
    </row>
    <row r="22" spans="1:6" ht="35.25" customHeight="1">
      <c r="A22" s="471" t="s">
        <v>374</v>
      </c>
      <c r="B22" s="364"/>
      <c r="C22" s="339"/>
      <c r="D22" s="563">
        <f>D23+D25</f>
        <v>16222.5</v>
      </c>
      <c r="F22" s="4"/>
    </row>
    <row r="23" spans="1:4" ht="28.5" customHeight="1">
      <c r="A23" s="250">
        <v>750</v>
      </c>
      <c r="B23" s="251" t="s">
        <v>96</v>
      </c>
      <c r="C23" s="535"/>
      <c r="D23" s="560">
        <f>SUM(D24)</f>
        <v>4222.5</v>
      </c>
    </row>
    <row r="24" spans="1:4" ht="46.5" customHeight="1">
      <c r="A24" s="482"/>
      <c r="B24" s="508"/>
      <c r="C24" s="535" t="s">
        <v>433</v>
      </c>
      <c r="D24" s="574">
        <v>4222.5</v>
      </c>
    </row>
    <row r="25" spans="1:4" ht="35.25" customHeight="1">
      <c r="A25" s="214">
        <v>900</v>
      </c>
      <c r="B25" s="505" t="s">
        <v>434</v>
      </c>
      <c r="C25" s="568"/>
      <c r="D25" s="376">
        <f>D26</f>
        <v>12000</v>
      </c>
    </row>
    <row r="26" spans="1:7" ht="45.75" customHeight="1">
      <c r="A26" s="572"/>
      <c r="B26" s="250"/>
      <c r="C26" s="575" t="s">
        <v>403</v>
      </c>
      <c r="D26" s="576">
        <v>12000</v>
      </c>
      <c r="E26" s="43"/>
      <c r="F26" s="43"/>
      <c r="G26" s="43"/>
    </row>
    <row r="27" spans="1:7" ht="30.75" customHeight="1">
      <c r="A27" s="525" t="s">
        <v>414</v>
      </c>
      <c r="B27" s="577"/>
      <c r="C27" s="578"/>
      <c r="D27" s="500">
        <f>D28+D31</f>
        <v>3901498</v>
      </c>
      <c r="E27" s="43"/>
      <c r="F27" s="43"/>
      <c r="G27" s="43"/>
    </row>
    <row r="28" spans="1:7" ht="33" customHeight="1">
      <c r="A28" s="490" t="s">
        <v>428</v>
      </c>
      <c r="B28" s="579"/>
      <c r="C28" s="580"/>
      <c r="D28" s="581">
        <f>D29</f>
        <v>2658000</v>
      </c>
      <c r="E28" s="43"/>
      <c r="F28" s="43"/>
      <c r="G28" s="43"/>
    </row>
    <row r="29" spans="1:4" ht="33" customHeight="1">
      <c r="A29" s="215">
        <v>921</v>
      </c>
      <c r="B29" s="566" t="s">
        <v>161</v>
      </c>
      <c r="C29" s="527"/>
      <c r="D29" s="582">
        <f>D30</f>
        <v>2658000</v>
      </c>
    </row>
    <row r="30" spans="1:4" ht="24.75" customHeight="1">
      <c r="A30" s="583"/>
      <c r="B30" s="508"/>
      <c r="C30" s="511" t="s">
        <v>435</v>
      </c>
      <c r="D30" s="590">
        <f>2400000+100000+54000+4000+80000+20000</f>
        <v>2658000</v>
      </c>
    </row>
    <row r="31" spans="1:4" ht="27.75" customHeight="1">
      <c r="A31" s="471" t="s">
        <v>374</v>
      </c>
      <c r="B31" s="584"/>
      <c r="C31" s="511"/>
      <c r="D31" s="542">
        <f>D32+D34+D36+D38+D40</f>
        <v>1243498</v>
      </c>
    </row>
    <row r="32" spans="1:4" s="142" customFormat="1" ht="27.75" customHeight="1">
      <c r="A32" s="585">
        <v>600</v>
      </c>
      <c r="B32" s="250" t="s">
        <v>85</v>
      </c>
      <c r="C32" s="535"/>
      <c r="D32" s="470">
        <f>D33</f>
        <v>250000</v>
      </c>
    </row>
    <row r="33" spans="1:4" s="142" customFormat="1" ht="49.5" customHeight="1">
      <c r="A33" s="585"/>
      <c r="B33" s="250"/>
      <c r="C33" s="331" t="s">
        <v>436</v>
      </c>
      <c r="D33" s="514">
        <f>95000+155000</f>
        <v>250000</v>
      </c>
    </row>
    <row r="34" spans="1:4" ht="27.75" customHeight="1">
      <c r="A34" s="586">
        <v>630</v>
      </c>
      <c r="B34" s="587" t="s">
        <v>176</v>
      </c>
      <c r="C34" s="535"/>
      <c r="D34" s="470">
        <f>D35</f>
        <v>2258</v>
      </c>
    </row>
    <row r="35" spans="1:4" ht="43.5" customHeight="1">
      <c r="A35" s="567"/>
      <c r="B35" s="588"/>
      <c r="C35" s="519" t="s">
        <v>437</v>
      </c>
      <c r="D35" s="477">
        <v>2258</v>
      </c>
    </row>
    <row r="36" spans="1:4" ht="29.25" customHeight="1">
      <c r="A36" s="250">
        <v>801</v>
      </c>
      <c r="B36" s="318" t="s">
        <v>108</v>
      </c>
      <c r="C36" s="535"/>
      <c r="D36" s="376">
        <f>D37</f>
        <v>1200</v>
      </c>
    </row>
    <row r="37" spans="1:4" s="34" customFormat="1" ht="33" customHeight="1">
      <c r="A37" s="589"/>
      <c r="B37" s="544"/>
      <c r="C37" s="176" t="s">
        <v>438</v>
      </c>
      <c r="D37" s="477">
        <f>800+400</f>
        <v>1200</v>
      </c>
    </row>
    <row r="38" spans="1:4" s="34" customFormat="1" ht="33" customHeight="1">
      <c r="A38" s="214">
        <v>852</v>
      </c>
      <c r="B38" s="548" t="s">
        <v>193</v>
      </c>
      <c r="C38" s="535"/>
      <c r="D38" s="376">
        <f>D39</f>
        <v>20040</v>
      </c>
    </row>
    <row r="39" spans="1:4" s="34" customFormat="1" ht="33" customHeight="1">
      <c r="A39" s="589"/>
      <c r="B39" s="544"/>
      <c r="C39" s="535" t="s">
        <v>439</v>
      </c>
      <c r="D39" s="498">
        <v>20040</v>
      </c>
    </row>
    <row r="40" spans="1:4" ht="43.5" customHeight="1">
      <c r="A40" s="215">
        <v>853</v>
      </c>
      <c r="B40" s="251" t="s">
        <v>129</v>
      </c>
      <c r="C40" s="519"/>
      <c r="D40" s="470">
        <f>D41</f>
        <v>970000</v>
      </c>
    </row>
    <row r="41" spans="1:4" ht="30.75" customHeight="1">
      <c r="A41" s="250"/>
      <c r="B41" s="251"/>
      <c r="C41" s="519" t="s">
        <v>440</v>
      </c>
      <c r="D41" s="477">
        <v>970000</v>
      </c>
    </row>
    <row r="42" spans="1:6" ht="25.5" customHeight="1">
      <c r="A42" s="613" t="s">
        <v>426</v>
      </c>
      <c r="B42" s="614"/>
      <c r="C42" s="612"/>
      <c r="D42" s="550">
        <f>D14+D27</f>
        <v>20100354.130000003</v>
      </c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</sheetData>
  <sheetProtection/>
  <mergeCells count="1">
    <mergeCell ref="A42:C42"/>
  </mergeCells>
  <printOptions/>
  <pageMargins left="0.15748031496062992" right="0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H19" sqref="H19"/>
    </sheetView>
  </sheetViews>
  <sheetFormatPr defaultColWidth="9.140625" defaultRowHeight="12.75"/>
  <cols>
    <col min="1" max="1" width="8.00390625" style="2" customWidth="1"/>
    <col min="2" max="2" width="8.7109375" style="2" customWidth="1"/>
    <col min="3" max="3" width="8.00390625" style="2" customWidth="1"/>
    <col min="4" max="4" width="18.7109375" style="2" customWidth="1"/>
    <col min="5" max="5" width="14.28125" style="2" customWidth="1"/>
    <col min="6" max="6" width="19.7109375" style="2" customWidth="1"/>
    <col min="7" max="7" width="14.140625" style="2" customWidth="1"/>
    <col min="8" max="8" width="9.140625" style="2" customWidth="1"/>
    <col min="9" max="9" width="11.28125" style="2" customWidth="1"/>
    <col min="10" max="10" width="10.28125" style="2" customWidth="1"/>
    <col min="11" max="16384" width="9.140625" style="2" customWidth="1"/>
  </cols>
  <sheetData/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Iwona Kawałkiewicz</cp:lastModifiedBy>
  <cp:lastPrinted>2015-12-08T09:45:11Z</cp:lastPrinted>
  <dcterms:created xsi:type="dcterms:W3CDTF">2009-03-04T08:33:11Z</dcterms:created>
  <dcterms:modified xsi:type="dcterms:W3CDTF">2015-12-08T09:45:40Z</dcterms:modified>
  <cp:category/>
  <cp:version/>
  <cp:contentType/>
  <cp:contentStatus/>
</cp:coreProperties>
</file>