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2" sheetId="1" r:id="rId1"/>
  </sheets>
  <definedNames>
    <definedName name="_xlnm.Print_Titles" localSheetId="0">'Załącznik nr 2'!$B:$B,'Załącznik nr 2'!$8:$11</definedName>
  </definedNames>
  <calcPr fullCalcOnLoad="1"/>
</workbook>
</file>

<file path=xl/sharedStrings.xml><?xml version="1.0" encoding="utf-8"?>
<sst xmlns="http://schemas.openxmlformats.org/spreadsheetml/2006/main" count="227" uniqueCount="168">
  <si>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</si>
  <si>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</si>
  <si>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</si>
  <si>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</si>
  <si>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</si>
  <si>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</si>
  <si>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</si>
  <si>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</si>
  <si>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</si>
  <si>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</si>
  <si>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Urząd Miejski w Koninie</t>
  </si>
  <si>
    <t>Wieloletnie przedsięwzięcia finansowe miasta Konina</t>
  </si>
  <si>
    <t>Limit zobowiązań</t>
  </si>
  <si>
    <t>Wydatki na przedsięwzięcia-ogółem (1.1.+1.2.+1.3.) z tego</t>
  </si>
  <si>
    <t>1.</t>
  </si>
  <si>
    <t>1.a</t>
  </si>
  <si>
    <t>1.b</t>
  </si>
  <si>
    <t>1.1.</t>
  </si>
  <si>
    <t>- wydatki majątkowe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</si>
  <si>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</si>
  <si>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</si>
  <si>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</si>
  <si>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</si>
  <si>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</si>
  <si>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</si>
  <si>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1.3.1.2</t>
  </si>
  <si>
    <t>1.3.1.5</t>
  </si>
  <si>
    <t>1.3.1.7</t>
  </si>
  <si>
    <t>1.3.1.8</t>
  </si>
  <si>
    <t>1.3.1.11</t>
  </si>
  <si>
    <t>1.3.2.</t>
  </si>
  <si>
    <t>1.3.2.1</t>
  </si>
  <si>
    <t>1.3.</t>
  </si>
  <si>
    <t>jednostka odpowiedzialna lub koordynująca program</t>
  </si>
  <si>
    <t>1.1.1</t>
  </si>
  <si>
    <t>Wydatki na programy, projekty lub zadania związane z programami realizowanymi z udziałem środków, o których mowa w art. 5 ust. 1 pkt 2 i 3                                     z tego:</t>
  </si>
  <si>
    <t xml:space="preserve">Bankowa obsługa budżetu Miasta Konina i podległych jednostek organizacyjnych (dz. 750 r. 75023). </t>
  </si>
  <si>
    <t xml:space="preserve">Zarządzanie nieruchomościami zabudowanymi budynkami komunalnymi 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r. 70005).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</si>
  <si>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r. 70005). </t>
  </si>
  <si>
    <t xml:space="preserve">Odszkodowanie za bezumowne korzystanie z gruntu (dz.700 r. 70005). </t>
  </si>
  <si>
    <t>Świadczenie usług dystrybucji energii elektrycznej dla sygnalizacji świetlnych, oświetlenia ulic, przepompowni i osadników wód deszczowych (dz. 900 r.90015, 90095).</t>
  </si>
  <si>
    <t>Oczyszczanie Miasta Konina (dz. 900 r. 90003).</t>
  </si>
  <si>
    <t>Zarządzanie energią w budynkach użyteczności publicznej w Koninie (dz. 801 r. 80195).</t>
  </si>
  <si>
    <t>Realizacja Programu Profilaktyki Zakażeń Wirusem HPV w mieście Koninie na lata 2014-2017 (dz. 851 r. 85149).</t>
  </si>
  <si>
    <t>Program wspierania Przedsiębiorczości w Koninie na lata 2014-2016 (dz. 853 r. 85395).</t>
  </si>
  <si>
    <t>Opłata dzierżawna za korzystanie z gruntów Skarbu Państwa w zarządzie Państwowego Gospodarstwa Leśnego- Lasy Państwowe (dz. 700 r. 70005).</t>
  </si>
  <si>
    <t xml:space="preserve">Nabycie nieruchomości gruntowych (dz. 700 r. 70005). </t>
  </si>
  <si>
    <t xml:space="preserve">Budowa drogi - łącznik od ul. Przemysłowej do ul. Kleczewskiej w Koninie (dz. 600 r. 60015). </t>
  </si>
  <si>
    <t>Budowa wiaduktu drogowego w km 202,860 linii kolejowej E 20 (dz. 600 r. 60015).</t>
  </si>
  <si>
    <t>Opłata za korzystanie z nieruchomości PAK KWB Konin S.A. związanej z przebiegiem sieci kanalizacji deszczowej (dz.700 r. 70005).</t>
  </si>
  <si>
    <t>Załącznik nr 2</t>
  </si>
  <si>
    <t>Rady Miasta Konina</t>
  </si>
  <si>
    <t>Limit wydatków w poszczególnych latach</t>
  </si>
  <si>
    <t xml:space="preserve">Utrzymanie szaletów miejskich na terenie miasta Konina (dz. 900 r. 90095). </t>
  </si>
  <si>
    <t>1.3.1.13</t>
  </si>
  <si>
    <t>Prowadzenie schroniska dla bezdomnych zwierząt w Koninie (dz. 900 r. 90013).</t>
  </si>
  <si>
    <t>Realizacja Programu opieki nad zwierzętami bezdomnymi oraz zapobieganie bezdomności zwierząt na terenie miasta Konina (dz. 900 r. 90013).</t>
  </si>
  <si>
    <t>Urządzanie, pielęgnacja i porządkowanie terenów zieleni wraz z prowadzeniem i ochroną Mini ZOO (dz. 900 r. 90004).</t>
  </si>
  <si>
    <t>1.3.1.21</t>
  </si>
  <si>
    <t>1.3.1.22</t>
  </si>
  <si>
    <t>Konwojowanie gotówki z kas Urzędu Miejskiego w Koninie do banku (dz. 750 r. 75023).</t>
  </si>
  <si>
    <t>Wykonanie i dostawa dokumentów komunikacyjnych (dz. 750 r.75020).</t>
  </si>
  <si>
    <t xml:space="preserve">Gospodarowanie odpadami komunalnymi przez gminę (dz. 900 rozdz. 90002). </t>
  </si>
  <si>
    <t>1.3.2.5</t>
  </si>
  <si>
    <t>Nowy przebieg drogi krajowej nr 25 w Koninie - etap II (dz. 600 r. 60015).</t>
  </si>
  <si>
    <t>1.1.2</t>
  </si>
  <si>
    <t xml:space="preserve">Utrzymanie ciągłości funkcjonowania systemów informatycznych - dostęp do internetu (dz. 750 r. 75023). </t>
  </si>
  <si>
    <t xml:space="preserve">Wykonanie auditów pośrednich w nadzorze i auditu odnowieniowego w zakresie nadzoru nad Systemem Zarządzania Jakością w Urzędzie Miejskim w Koninie (dz. 750 rozdz. 75023). </t>
  </si>
  <si>
    <t>Prowadzenie Ośrodka Rehabilitacyjno-Edukacyjno-Wychowawczego i Punktu Rehabilitacyjnego (dz. 852 r. 85295).</t>
  </si>
  <si>
    <t>1.3.1.1</t>
  </si>
  <si>
    <t>1.3.1.3</t>
  </si>
  <si>
    <t>1.3.1.4</t>
  </si>
  <si>
    <t>1.3.1.6</t>
  </si>
  <si>
    <t>1.3.1.9</t>
  </si>
  <si>
    <t>1.3.1.10</t>
  </si>
  <si>
    <t>1.3.1.12</t>
  </si>
  <si>
    <t>1.3.1.14</t>
  </si>
  <si>
    <t>1.3.1.15</t>
  </si>
  <si>
    <t>1.3.1.16</t>
  </si>
  <si>
    <t>1.3.1.17</t>
  </si>
  <si>
    <t>1.3.1.18</t>
  </si>
  <si>
    <t>1.3.1.19</t>
  </si>
  <si>
    <t>1.3.1.20</t>
  </si>
  <si>
    <t>1.3.1.23</t>
  </si>
  <si>
    <t>1.3.2.2</t>
  </si>
  <si>
    <t>1.3.2.3</t>
  </si>
  <si>
    <t>1.3.2.4</t>
  </si>
  <si>
    <t>Program wspierania Przedsiębiorczości w Koninie na lata 2014-2016 (wniesienie wkładu dz. 853 r. 85395).</t>
  </si>
  <si>
    <t>Organizacja cyklicznych koncertów z cyklu "Muzyka w ratuszu - Prezydent zaprasza" (dz. 921 r. 92195).</t>
  </si>
  <si>
    <t>Organizacja imprez kulturalnych dla mieszkańców Konina (dz.921 r. 92195).</t>
  </si>
  <si>
    <t>1.3.1.24</t>
  </si>
  <si>
    <t>Utworzenie grupy zakupowej energii elektrycznej dla jednostek organizacyjnych Miasta Konina-III edycja.</t>
  </si>
  <si>
    <t>MOSiR w Koninie</t>
  </si>
  <si>
    <t>1.3.1.25</t>
  </si>
  <si>
    <t>Administrowanie Ośrodkiem Wypoczynkowym w Gosławicach dz. 926 rozdz. 92604).</t>
  </si>
  <si>
    <t>1.1.1.1</t>
  </si>
  <si>
    <t>Europejski Fundusz Społeczny - Program Operacyjny Wiedza Edukacja Rozwój</t>
  </si>
  <si>
    <t>Uczący się nauczyciele - wykształcony uczeń. Cel: Nabycie kompetencji kluczowych i zawodowych przez przedstawicieli kadry pracującej w placówkach oświaty dzięki udziałowi w zagranicznych mobilnościach (dz. 801 rozdz. 80195).</t>
  </si>
  <si>
    <t>I Liceum Oólnokształcące im. T. Kościuszki w Koninie</t>
  </si>
  <si>
    <t>1.3.1.26</t>
  </si>
  <si>
    <t>1.3.1.27</t>
  </si>
  <si>
    <t>Utrzymanie zimowe dróg gminnych oraz dróg w miastach na prawach powiatu na terenie miasta Konina (dz. 600 r. 60015, 60016).</t>
  </si>
  <si>
    <t>Dostawa energii elektrycznej dla celów oświetlenia ulic, sygnalizacji świetlnych, przepompowni i osadników wód deszczowych na terenie miasta Konina  (dz.900 r.90015).</t>
  </si>
  <si>
    <t>1.1.1.2</t>
  </si>
  <si>
    <t>Wspólnie obudźmy lepsze jutro. Cel: Wzmocnienie kompetencji zawodowych nauczycieli poprzez udział w szkoleniach za granicą (dz.801 r. 80195).</t>
  </si>
  <si>
    <t>Gimnazjum nr 2 im Polskich Alpinistów w Koninie</t>
  </si>
  <si>
    <t>1.3.1.28</t>
  </si>
  <si>
    <t>1.3.1.29</t>
  </si>
  <si>
    <t>Sporządzanie miejscowych planów zagospodarowania przestrzennego miasta Konina oraz zmiany studium uwarunkowań i kierunków zagospodarowania przestrzennego (dz.710 r. 71004).</t>
  </si>
  <si>
    <t>1.3.1.30</t>
  </si>
  <si>
    <t>Wynagrodzenie za ustanowienie przez SM "Zatorze" służebności przechodu i przejazdu (dz. 700 r. 70005).</t>
  </si>
  <si>
    <t>1.3.2.6</t>
  </si>
  <si>
    <t>Wniesienie wkładu pieniężnego do PWiK na budowę kanalizacji sanitarnej i wodociągu w rejonie ul. Gajowej w Koninie - I etap (dz.900 r.90095).</t>
  </si>
  <si>
    <t>Oświetlenie ulic, placów publicznych i dróg znajdujących się w obrębie administracyjnym Miasta Konina (dz. 900 r. 90015).</t>
  </si>
  <si>
    <t>1.3.1.31</t>
  </si>
  <si>
    <t>1.3.1.32</t>
  </si>
  <si>
    <t xml:space="preserve">Wypłata odszkodowań za działki przejęte z mocy prawa pod drogi publiczne, które stały się własnością Miasta Konina na mocy decyzji Prezydenta Miasta Konina zatwierzających projekty podziału działek (dz. 700 r.70005). </t>
  </si>
  <si>
    <t>1.1.1.3</t>
  </si>
  <si>
    <t>Staż dla zawodowców-zagraniczna praktyka zawodowa dla uczniów ZSB. Cel: Kształcenie uczniów w zawodach z branży budowlanej, geodezyjnej, logistycznej, gasttronomicznej, hotelarskiej i mechanicznej (801 r. 80195).</t>
  </si>
  <si>
    <t>Zespół Szkół Budowlanych im. Eugeniusza Kwiatkowskiego w Koninie</t>
  </si>
  <si>
    <t>Opracowanie dokumentacji projektowo-kosztorysowej na przebudowę ulic: Beznazwy i Wilczej w Koninie (dz.600 r. 60016).</t>
  </si>
  <si>
    <t>1.3.2.7</t>
  </si>
  <si>
    <t>Adaptacja pomieszczeń budynku Klubu Energetyk na potrzeby Młodzieżowego Domu Kultury w Koninie (dz. 921 r. 92109).</t>
  </si>
  <si>
    <t>1.3.2.8</t>
  </si>
  <si>
    <t>Program Edukacyjny Erasmus+ Akcja1 Mobilność edukacyjna</t>
  </si>
  <si>
    <t>1.1.1.4</t>
  </si>
  <si>
    <t>Otwieramy się na Europę. Cel:Udział nauczycieli języków obcych w kursach i szkoleniach zagranicznych (dz.801 r. 80195).</t>
  </si>
  <si>
    <t>Zespół Szkół Górniczo-Energetycznych im. Stanisława Staszica w Koninie</t>
  </si>
  <si>
    <t>1.3.2.9</t>
  </si>
  <si>
    <t>Przebudowa ulicy Romana Dmowskiego w Koninie (dz.600 r.6015).</t>
  </si>
  <si>
    <t>1.3.1.33</t>
  </si>
  <si>
    <t>1.3.2.10</t>
  </si>
  <si>
    <t>Wniesienie wkładu pieniężnego na budowę sieci wodociągowej w Koninie w ulicy Ignacego Domeyki - os. Laskówiec (dz. 900 r. 90095).</t>
  </si>
  <si>
    <t>1.3.1.34</t>
  </si>
  <si>
    <t>1.3.2.11</t>
  </si>
  <si>
    <t>Zmiana systemu ogrzewania c.o. i c.w.u. przy wykorzystaniu nowoczesnych rozwiązań i odnawialnych źródeł energii poprzez dotacje celowe dla osób fizycznych (dz.900 r.90095).</t>
  </si>
  <si>
    <t>Przedszkole nr 32 z oddziałami integracyjnymi w Koninie</t>
  </si>
  <si>
    <t xml:space="preserve">Pod wspólnym niebem Europy. Cel: Podniesienie kompetencji matematyczno-językowych przy wykorzystaniu wypracowanych innowacyjnych metod pracy oraz zastosowania technik multimedialnych dla dzieci w wieku przedszkolnym (dz. 801 r. 80195). </t>
  </si>
  <si>
    <t>1.3.2.12</t>
  </si>
  <si>
    <t>Wniesienie wkładu pieniężnego do PWiK w Koninie na opracowanie dokumentacji projektowej na budowę kanalizacji sanitarnej w Koninie w ulicy Osada (dz. 900 r. 90095).</t>
  </si>
  <si>
    <t>Sporządzenie miejscowego planu zagospodarowania przestrzennego miasta Konina dla rejonu przy ulicy Zakładowej, część wschodnia (dz.710 r. 71004).</t>
  </si>
  <si>
    <t>Sporządzenie miejscowego planu zagospodarowania przestrzennego miasta Konina dla wybranych obszarów w rejonie ulicy Parowozownia (dz.710 r. 71004).</t>
  </si>
  <si>
    <t>1.3.1.35</t>
  </si>
  <si>
    <t>1.3.1.36</t>
  </si>
  <si>
    <t>Utrzymanie zieleni w pasach drogowych i na miejskich parkingach w mieście Koninie (dz.600 r. 60015,60016).</t>
  </si>
  <si>
    <t>1.3.1.37</t>
  </si>
  <si>
    <t>Bieżące utrzymanie, konserwacja, naprawa i modernizacja sygnalizacji świetlnych ruchu drogowego na terenie miasta Konina (dz.600 r.60015).</t>
  </si>
  <si>
    <t>1.3.1.38</t>
  </si>
  <si>
    <t>Prace eksploatacyjno-konserwacyjne oświetlenia stanowiącego własność miasta Konina (dz.900 r.90015).</t>
  </si>
  <si>
    <t>1.3.1.39</t>
  </si>
  <si>
    <t xml:space="preserve">Wykonanie i dostawa tablic rejestracyjnych (dz. 750 r. 75020). </t>
  </si>
  <si>
    <t>1.3.2.13</t>
  </si>
  <si>
    <t>Budowa toalety przy ul. Szpitalnej 60 w Koninie (dz. 900 r. 90095).</t>
  </si>
  <si>
    <t>1.1.1.5</t>
  </si>
  <si>
    <t>Przekraczanie granic. Nowe podejście do integracji. Cel: Międzynarodowa wymiana młodzieży pod kątem poszukiwania nowych metod integracji w środowisku osób niepełnosprawnych, poszerzenie kompetencji ( dz. 801 r.80195).</t>
  </si>
  <si>
    <t>Remonty bieżące dróg gminnych oraz dróg w miastach na prawach powiatu, na terenie miasta Konina (dz. 600 r. 60015,60016).</t>
  </si>
  <si>
    <t>1.1.1.6</t>
  </si>
  <si>
    <t>Wynajem pomieszczeń na biura i terenu przeznaczonego na parking (dz. 600 r. 60015).</t>
  </si>
  <si>
    <t>Program wspierania Przedsiębiorczości w Koninie na lata 2014-2016 - Koncepcja utworzenia Parku Przemysłowo Technologicznego (dz. 853 r. 85395).</t>
  </si>
  <si>
    <t>1.3.2.14</t>
  </si>
  <si>
    <t xml:space="preserve">do Uchwały Nr             </t>
  </si>
  <si>
    <t xml:space="preserve">z dnia 16 grudnia 2015 roku                                       </t>
  </si>
  <si>
    <t>Sukces dziecka w naszych rękach. Cel: Podniesienie jakości edukacji (dz. 801 r. 80195).</t>
  </si>
  <si>
    <t>1.3.2.15</t>
  </si>
  <si>
    <t>Budowa odwodnienia terenu przyległego do boiska przy Gimnazjum nr 3 w Koninie (dz. 900 r. 90095).</t>
  </si>
  <si>
    <t>1.1.1.7</t>
  </si>
  <si>
    <t>1.3.1.40</t>
  </si>
  <si>
    <t>Prowadzenie punktów nieodpłatnych porad prawnych (dz.755 r. 75595).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</si>
</sst>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"/>
    <numFmt numFmtId="172" formatCode="#,##0.000"/>
    <numFmt numFmtId="173" formatCode="#,##0.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b/>
      <sz val="8"/>
      <color indexed="8"/>
      <name val="Bookman Old Style"/>
      <family val="1"/>
    </font>
    <font>
      <b/>
      <sz val="6"/>
      <color indexed="8"/>
      <name val="Bookman Old Style"/>
      <family val="1"/>
    </font>
    <font>
      <sz val="6"/>
      <name val="Bookman Old Style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color indexed="8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6" fillId="0" borderId="10" xfId="44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22" fillId="0" borderId="0" xfId="0" applyNumberFormat="1" applyFont="1" applyFill="1" applyAlignment="1">
      <alignment/>
    </xf>
    <xf numFmtId="4" fontId="23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6"/>
  <sheetViews>
    <sheetView tabSelected="1" zoomScalePageLayoutView="0" workbookViewId="0" topLeftCell="A28">
      <selection activeCell="F31" sqref="F31:M31"/>
    </sheetView>
  </sheetViews>
  <sheetFormatPr defaultColWidth="9.140625" defaultRowHeight="12.75"/>
  <cols>
    <col min="1" max="1" width="5.28125" style="22" customWidth="1"/>
    <col min="2" max="2" width="16.421875" style="1" customWidth="1"/>
    <col min="3" max="3" width="14.140625" style="2" customWidth="1"/>
    <col min="4" max="5" width="5.00390625" style="1" customWidth="1"/>
    <col min="6" max="6" width="13.57421875" style="1" customWidth="1"/>
    <col min="7" max="7" width="12.8515625" style="1" customWidth="1"/>
    <col min="8" max="8" width="12.421875" style="1" customWidth="1"/>
    <col min="9" max="9" width="12.7109375" style="1" customWidth="1"/>
    <col min="10" max="10" width="12.140625" style="1" customWidth="1"/>
    <col min="11" max="12" width="11.8515625" style="1" customWidth="1"/>
    <col min="13" max="13" width="12.8515625" style="1" customWidth="1"/>
    <col min="14" max="14" width="15.7109375" style="1" customWidth="1"/>
    <col min="15" max="15" width="12.421875" style="1" customWidth="1"/>
    <col min="16" max="16" width="11.7109375" style="1" bestFit="1" customWidth="1"/>
    <col min="17" max="17" width="12.7109375" style="1" bestFit="1" customWidth="1"/>
    <col min="18" max="20" width="11.7109375" style="1" bestFit="1" customWidth="1"/>
    <col min="21" max="16384" width="9.140625" style="1" customWidth="1"/>
  </cols>
  <sheetData>
    <row r="1" ht="18.75">
      <c r="G1" s="54" t="s">
        <v>50</v>
      </c>
    </row>
    <row r="2" ht="15.75">
      <c r="G2" s="55" t="s">
        <v>160</v>
      </c>
    </row>
    <row r="3" ht="15.75">
      <c r="G3" s="55" t="s">
        <v>51</v>
      </c>
    </row>
    <row r="4" ht="15.75">
      <c r="G4" s="55" t="s">
        <v>161</v>
      </c>
    </row>
    <row r="6" spans="2:6" ht="18.75">
      <c r="B6" s="7" t="s">
        <v>11</v>
      </c>
      <c r="C6" s="7"/>
      <c r="D6" s="7"/>
      <c r="E6" s="7"/>
      <c r="F6" s="7"/>
    </row>
    <row r="8" spans="1:13" s="6" customFormat="1" ht="27.75" customHeight="1">
      <c r="A8" s="71" t="s">
        <v>0</v>
      </c>
      <c r="B8" s="71" t="s">
        <v>1</v>
      </c>
      <c r="C8" s="72" t="s">
        <v>33</v>
      </c>
      <c r="D8" s="73" t="s">
        <v>2</v>
      </c>
      <c r="E8" s="73"/>
      <c r="F8" s="68" t="s">
        <v>3</v>
      </c>
      <c r="G8" s="75" t="s">
        <v>52</v>
      </c>
      <c r="H8" s="76"/>
      <c r="I8" s="76"/>
      <c r="J8" s="76"/>
      <c r="K8" s="76"/>
      <c r="L8" s="77"/>
      <c r="M8" s="80" t="s">
        <v>12</v>
      </c>
    </row>
    <row r="9" spans="1:13" s="6" customFormat="1" ht="18.75" customHeight="1">
      <c r="A9" s="71"/>
      <c r="B9" s="71"/>
      <c r="C9" s="72"/>
      <c r="D9" s="74" t="s">
        <v>4</v>
      </c>
      <c r="E9" s="74"/>
      <c r="F9" s="69"/>
      <c r="G9" s="73"/>
      <c r="H9" s="73"/>
      <c r="I9" s="75"/>
      <c r="J9" s="28"/>
      <c r="K9" s="28"/>
      <c r="L9" s="28"/>
      <c r="M9" s="80"/>
    </row>
    <row r="10" spans="1:13" ht="11.25" customHeight="1">
      <c r="A10" s="71"/>
      <c r="B10" s="71"/>
      <c r="C10" s="72"/>
      <c r="D10" s="8" t="s">
        <v>5</v>
      </c>
      <c r="E10" s="8" t="s">
        <v>6</v>
      </c>
      <c r="F10" s="70"/>
      <c r="G10" s="8">
        <v>2015</v>
      </c>
      <c r="H10" s="8">
        <v>2016</v>
      </c>
      <c r="I10" s="8">
        <v>2017</v>
      </c>
      <c r="J10" s="8">
        <v>2018</v>
      </c>
      <c r="K10" s="8">
        <v>2019</v>
      </c>
      <c r="L10" s="8">
        <v>2020</v>
      </c>
      <c r="M10" s="80"/>
    </row>
    <row r="11" spans="1:13" s="21" customFormat="1" ht="13.5">
      <c r="A11" s="23">
        <v>1</v>
      </c>
      <c r="B11" s="18">
        <v>2</v>
      </c>
      <c r="C11" s="18">
        <v>3</v>
      </c>
      <c r="D11" s="19">
        <v>4</v>
      </c>
      <c r="E11" s="19">
        <v>5</v>
      </c>
      <c r="F11" s="20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25">
        <v>13</v>
      </c>
    </row>
    <row r="12" spans="1:13" ht="16.5" customHeight="1">
      <c r="A12" s="29" t="s">
        <v>14</v>
      </c>
      <c r="B12" s="67" t="s">
        <v>13</v>
      </c>
      <c r="C12" s="67"/>
      <c r="D12" s="67"/>
      <c r="E12" s="67"/>
      <c r="F12" s="9">
        <f aca="true" t="shared" si="0" ref="F12:M12">+F13+F14</f>
        <v>79171515.74000001</v>
      </c>
      <c r="G12" s="9">
        <f t="shared" si="0"/>
        <v>17631755.700000003</v>
      </c>
      <c r="H12" s="9">
        <f t="shared" si="0"/>
        <v>37000586.4</v>
      </c>
      <c r="I12" s="35">
        <f t="shared" si="0"/>
        <v>9714703.45</v>
      </c>
      <c r="J12" s="9">
        <f t="shared" si="0"/>
        <v>4015746.61</v>
      </c>
      <c r="K12" s="9">
        <f t="shared" si="0"/>
        <v>3824830.96</v>
      </c>
      <c r="L12" s="9">
        <f t="shared" si="0"/>
        <v>3803700</v>
      </c>
      <c r="M12" s="9">
        <f t="shared" si="0"/>
        <v>61119050.379999995</v>
      </c>
    </row>
    <row r="13" spans="1:13" ht="14.25" customHeight="1">
      <c r="A13" s="30" t="s">
        <v>15</v>
      </c>
      <c r="B13" s="67" t="s">
        <v>7</v>
      </c>
      <c r="C13" s="67"/>
      <c r="D13" s="67"/>
      <c r="E13" s="67"/>
      <c r="F13" s="10">
        <f aca="true" t="shared" si="1" ref="F13:M13">F16+F31</f>
        <v>42827326.84</v>
      </c>
      <c r="G13" s="10">
        <f t="shared" si="1"/>
        <v>9144542.700000001</v>
      </c>
      <c r="H13" s="10">
        <f t="shared" si="1"/>
        <v>23419504.4</v>
      </c>
      <c r="I13" s="10">
        <f t="shared" si="1"/>
        <v>6884703.449999999</v>
      </c>
      <c r="J13" s="10">
        <f t="shared" si="1"/>
        <v>355746.61</v>
      </c>
      <c r="K13" s="10">
        <f t="shared" si="1"/>
        <v>154830.96</v>
      </c>
      <c r="L13" s="10">
        <f t="shared" si="1"/>
        <v>143700</v>
      </c>
      <c r="M13" s="10">
        <f t="shared" si="1"/>
        <v>26031669.52</v>
      </c>
    </row>
    <row r="14" spans="1:16" ht="14.25" customHeight="1">
      <c r="A14" s="30" t="s">
        <v>16</v>
      </c>
      <c r="B14" s="67" t="s">
        <v>8</v>
      </c>
      <c r="C14" s="67"/>
      <c r="D14" s="67"/>
      <c r="E14" s="67"/>
      <c r="F14" s="10">
        <f aca="true" t="shared" si="2" ref="F14:M14">F26+F29+F72</f>
        <v>36344188.9</v>
      </c>
      <c r="G14" s="10">
        <f t="shared" si="2"/>
        <v>8487213</v>
      </c>
      <c r="H14" s="10">
        <f t="shared" si="2"/>
        <v>13581082</v>
      </c>
      <c r="I14" s="10">
        <f t="shared" si="2"/>
        <v>2830000</v>
      </c>
      <c r="J14" s="10">
        <f t="shared" si="2"/>
        <v>3660000</v>
      </c>
      <c r="K14" s="10">
        <f t="shared" si="2"/>
        <v>3670000</v>
      </c>
      <c r="L14" s="10">
        <f t="shared" si="2"/>
        <v>3660000</v>
      </c>
      <c r="M14" s="10">
        <f t="shared" si="2"/>
        <v>35087380.86</v>
      </c>
      <c r="P14" s="5"/>
    </row>
    <row r="15" spans="1:15" ht="59.25" customHeight="1">
      <c r="A15" s="30" t="s">
        <v>17</v>
      </c>
      <c r="B15" s="66" t="s">
        <v>35</v>
      </c>
      <c r="C15" s="66"/>
      <c r="D15" s="66"/>
      <c r="E15" s="66"/>
      <c r="F15" s="9">
        <f>F16</f>
        <v>1582834.7500000002</v>
      </c>
      <c r="G15" s="9">
        <f aca="true" t="shared" si="3" ref="G15:M15">G16</f>
        <v>427479.06</v>
      </c>
      <c r="H15" s="9">
        <f t="shared" si="3"/>
        <v>1060179.81</v>
      </c>
      <c r="I15" s="9">
        <f t="shared" si="3"/>
        <v>95175.88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1582834.7500000002</v>
      </c>
      <c r="O15" s="5"/>
    </row>
    <row r="16" spans="1:15" ht="15.75" customHeight="1">
      <c r="A16" s="31" t="s">
        <v>34</v>
      </c>
      <c r="B16" s="81" t="s">
        <v>9</v>
      </c>
      <c r="C16" s="81"/>
      <c r="D16" s="81"/>
      <c r="E16" s="81"/>
      <c r="F16" s="10">
        <f>SUM(F17:F25)</f>
        <v>1582834.7500000002</v>
      </c>
      <c r="G16" s="10">
        <f aca="true" t="shared" si="4" ref="G16:M16">SUM(G17:G25)</f>
        <v>427479.06</v>
      </c>
      <c r="H16" s="10">
        <f t="shared" si="4"/>
        <v>1060179.81</v>
      </c>
      <c r="I16" s="10">
        <f t="shared" si="4"/>
        <v>95175.88</v>
      </c>
      <c r="J16" s="10">
        <f t="shared" si="4"/>
        <v>0</v>
      </c>
      <c r="K16" s="10">
        <f t="shared" si="4"/>
        <v>0</v>
      </c>
      <c r="L16" s="10">
        <f t="shared" si="4"/>
        <v>0</v>
      </c>
      <c r="M16" s="10">
        <f t="shared" si="4"/>
        <v>1582834.7500000002</v>
      </c>
      <c r="O16" s="5"/>
    </row>
    <row r="17" spans="1:15" ht="84" customHeight="1">
      <c r="A17" s="31"/>
      <c r="B17" s="48" t="s">
        <v>96</v>
      </c>
      <c r="C17" s="47"/>
      <c r="D17" s="47"/>
      <c r="E17" s="47"/>
      <c r="F17" s="10"/>
      <c r="G17" s="10"/>
      <c r="H17" s="10"/>
      <c r="I17" s="10"/>
      <c r="J17" s="10"/>
      <c r="K17" s="10"/>
      <c r="L17" s="10"/>
      <c r="M17" s="10"/>
      <c r="O17" s="5"/>
    </row>
    <row r="18" spans="1:15" ht="138" customHeight="1">
      <c r="A18" s="30" t="s">
        <v>95</v>
      </c>
      <c r="B18" s="41" t="s">
        <v>104</v>
      </c>
      <c r="C18" s="49" t="s">
        <v>105</v>
      </c>
      <c r="D18" s="36">
        <v>2015</v>
      </c>
      <c r="E18" s="36">
        <v>2016</v>
      </c>
      <c r="F18" s="12">
        <f>SUM(G18:H18)</f>
        <v>123410.14</v>
      </c>
      <c r="G18" s="12">
        <v>72432</v>
      </c>
      <c r="H18" s="12">
        <v>50978.14</v>
      </c>
      <c r="I18" s="12"/>
      <c r="J18" s="12"/>
      <c r="K18" s="12"/>
      <c r="L18" s="12"/>
      <c r="M18" s="12">
        <f>SUM(G18:K18)</f>
        <v>123410.14</v>
      </c>
      <c r="O18" s="5"/>
    </row>
    <row r="19" spans="1:15" ht="212.25" customHeight="1">
      <c r="A19" s="30" t="s">
        <v>103</v>
      </c>
      <c r="B19" s="41" t="s">
        <v>97</v>
      </c>
      <c r="C19" s="49" t="s">
        <v>98</v>
      </c>
      <c r="D19" s="36">
        <v>2015</v>
      </c>
      <c r="E19" s="36">
        <v>2016</v>
      </c>
      <c r="F19" s="12">
        <f>SUM(G19:H19)</f>
        <v>184662.24</v>
      </c>
      <c r="G19" s="12">
        <v>104678</v>
      </c>
      <c r="H19" s="12">
        <v>79984.24</v>
      </c>
      <c r="I19" s="12"/>
      <c r="J19" s="12"/>
      <c r="K19" s="12"/>
      <c r="L19" s="12"/>
      <c r="M19" s="12">
        <f>SUM(G19:K19)</f>
        <v>184662.24</v>
      </c>
      <c r="O19" s="5"/>
    </row>
    <row r="20" spans="1:15" ht="72.75" customHeight="1">
      <c r="A20" s="30" t="s">
        <v>117</v>
      </c>
      <c r="B20" s="41" t="s">
        <v>162</v>
      </c>
      <c r="C20" s="49" t="s">
        <v>136</v>
      </c>
      <c r="D20" s="36">
        <v>2015</v>
      </c>
      <c r="E20" s="36">
        <v>2017</v>
      </c>
      <c r="F20" s="12">
        <f>SUM(G20:I20)</f>
        <v>276773.44</v>
      </c>
      <c r="G20" s="12">
        <v>0</v>
      </c>
      <c r="H20" s="12">
        <v>221418.75</v>
      </c>
      <c r="I20" s="12">
        <v>55354.69</v>
      </c>
      <c r="J20" s="12"/>
      <c r="K20" s="12"/>
      <c r="L20" s="12"/>
      <c r="M20" s="12">
        <f>SUM(G20:K20)</f>
        <v>276773.44</v>
      </c>
      <c r="O20" s="5"/>
    </row>
    <row r="21" spans="1:15" ht="67.5" customHeight="1">
      <c r="A21" s="31"/>
      <c r="B21" s="48" t="s">
        <v>124</v>
      </c>
      <c r="C21" s="49"/>
      <c r="D21" s="36"/>
      <c r="E21" s="36"/>
      <c r="F21" s="12"/>
      <c r="G21" s="12"/>
      <c r="H21" s="12"/>
      <c r="I21" s="12"/>
      <c r="J21" s="12"/>
      <c r="K21" s="12"/>
      <c r="L21" s="12"/>
      <c r="M21" s="12"/>
      <c r="O21" s="5"/>
    </row>
    <row r="22" spans="1:15" ht="201.75" customHeight="1">
      <c r="A22" s="30" t="s">
        <v>125</v>
      </c>
      <c r="B22" s="41" t="s">
        <v>118</v>
      </c>
      <c r="C22" s="49" t="s">
        <v>119</v>
      </c>
      <c r="D22" s="36">
        <v>2015</v>
      </c>
      <c r="E22" s="36">
        <v>2016</v>
      </c>
      <c r="F22" s="12">
        <f>SUM(G22:H22)</f>
        <v>669969.61</v>
      </c>
      <c r="G22" s="12">
        <f>125000+5800</f>
        <v>130800</v>
      </c>
      <c r="H22" s="12">
        <f>538167.4+1002.21</f>
        <v>539169.61</v>
      </c>
      <c r="I22" s="12"/>
      <c r="J22" s="12"/>
      <c r="K22" s="12"/>
      <c r="L22" s="12"/>
      <c r="M22" s="12">
        <f>SUM(G22:K22)</f>
        <v>669969.61</v>
      </c>
      <c r="O22" s="5"/>
    </row>
    <row r="23" spans="1:15" ht="114" customHeight="1">
      <c r="A23" s="30" t="s">
        <v>153</v>
      </c>
      <c r="B23" s="41" t="s">
        <v>126</v>
      </c>
      <c r="C23" s="49" t="s">
        <v>127</v>
      </c>
      <c r="D23" s="36">
        <v>2015</v>
      </c>
      <c r="E23" s="36">
        <v>2016</v>
      </c>
      <c r="F23" s="12">
        <f>SUM(G23:H23)</f>
        <v>81211.33</v>
      </c>
      <c r="G23" s="12">
        <f>64969.06+10000</f>
        <v>74969.06</v>
      </c>
      <c r="H23" s="12">
        <f>16242.27-10000</f>
        <v>6242.27</v>
      </c>
      <c r="I23" s="12"/>
      <c r="J23" s="12"/>
      <c r="K23" s="12"/>
      <c r="L23" s="12"/>
      <c r="M23" s="12">
        <f>SUM(G23:H23)</f>
        <v>81211.33</v>
      </c>
      <c r="O23" s="5"/>
    </row>
    <row r="24" spans="1:15" ht="206.25" customHeight="1">
      <c r="A24" s="30" t="s">
        <v>156</v>
      </c>
      <c r="B24" s="41" t="s">
        <v>137</v>
      </c>
      <c r="C24" s="49" t="s">
        <v>136</v>
      </c>
      <c r="D24" s="36">
        <v>2015</v>
      </c>
      <c r="E24" s="36">
        <v>2017</v>
      </c>
      <c r="F24" s="12">
        <f>SUM(G24:I24)</f>
        <v>128436.8</v>
      </c>
      <c r="G24" s="12">
        <v>33000</v>
      </c>
      <c r="H24" s="12">
        <v>89436.8</v>
      </c>
      <c r="I24" s="12">
        <v>6000</v>
      </c>
      <c r="J24" s="12"/>
      <c r="K24" s="12"/>
      <c r="L24" s="12"/>
      <c r="M24" s="12">
        <f>SUM(G24:K24)</f>
        <v>128436.8</v>
      </c>
      <c r="O24" s="5"/>
    </row>
    <row r="25" spans="1:15" ht="206.25" customHeight="1">
      <c r="A25" s="30" t="s">
        <v>165</v>
      </c>
      <c r="B25" s="41" t="s">
        <v>154</v>
      </c>
      <c r="C25" s="49" t="s">
        <v>105</v>
      </c>
      <c r="D25" s="36">
        <v>2015</v>
      </c>
      <c r="E25" s="36">
        <v>2017</v>
      </c>
      <c r="F25" s="12">
        <f>SUM(G25:I25)</f>
        <v>118371.19</v>
      </c>
      <c r="G25" s="12">
        <v>11600</v>
      </c>
      <c r="H25" s="12">
        <v>72950</v>
      </c>
      <c r="I25" s="12">
        <v>33821.19</v>
      </c>
      <c r="J25" s="12"/>
      <c r="K25" s="12"/>
      <c r="L25" s="12"/>
      <c r="M25" s="12">
        <f>SUM(G25:I25)</f>
        <v>118371.19</v>
      </c>
      <c r="O25" s="5"/>
    </row>
    <row r="26" spans="1:15" ht="15.75" customHeight="1">
      <c r="A26" s="31" t="s">
        <v>65</v>
      </c>
      <c r="B26" s="78" t="s">
        <v>8</v>
      </c>
      <c r="C26" s="78"/>
      <c r="D26" s="78"/>
      <c r="E26" s="78"/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O26" s="5"/>
    </row>
    <row r="27" spans="1:15" s="3" customFormat="1" ht="41.25" customHeight="1">
      <c r="A27" s="30" t="s">
        <v>19</v>
      </c>
      <c r="B27" s="66" t="s">
        <v>20</v>
      </c>
      <c r="C27" s="66"/>
      <c r="D27" s="66"/>
      <c r="E27" s="66"/>
      <c r="F27" s="13">
        <f aca="true" t="shared" si="5" ref="F27:M27">+F28+F29</f>
        <v>0</v>
      </c>
      <c r="G27" s="13">
        <f t="shared" si="5"/>
        <v>0</v>
      </c>
      <c r="H27" s="13">
        <f t="shared" si="5"/>
        <v>0</v>
      </c>
      <c r="I27" s="13">
        <f t="shared" si="5"/>
        <v>0</v>
      </c>
      <c r="J27" s="13"/>
      <c r="K27" s="13"/>
      <c r="L27" s="13"/>
      <c r="M27" s="13">
        <f t="shared" si="5"/>
        <v>0</v>
      </c>
      <c r="N27" s="27"/>
      <c r="O27" s="17"/>
    </row>
    <row r="28" spans="1:15" s="3" customFormat="1" ht="14.25" customHeight="1">
      <c r="A28" s="30" t="s">
        <v>21</v>
      </c>
      <c r="B28" s="78" t="s">
        <v>7</v>
      </c>
      <c r="C28" s="78"/>
      <c r="D28" s="78"/>
      <c r="E28" s="78"/>
      <c r="F28" s="12">
        <v>0</v>
      </c>
      <c r="G28" s="12"/>
      <c r="H28" s="12"/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27"/>
      <c r="O28" s="17"/>
    </row>
    <row r="29" spans="1:15" s="3" customFormat="1" ht="12.75" customHeight="1">
      <c r="A29" s="30" t="s">
        <v>22</v>
      </c>
      <c r="B29" s="78" t="s">
        <v>8</v>
      </c>
      <c r="C29" s="78"/>
      <c r="D29" s="78"/>
      <c r="E29" s="78"/>
      <c r="F29" s="12">
        <v>0</v>
      </c>
      <c r="G29" s="12"/>
      <c r="H29" s="12"/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27"/>
      <c r="O29" s="17"/>
    </row>
    <row r="30" spans="1:15" s="2" customFormat="1" ht="42" customHeight="1">
      <c r="A30" s="30" t="s">
        <v>32</v>
      </c>
      <c r="B30" s="66" t="s">
        <v>23</v>
      </c>
      <c r="C30" s="66"/>
      <c r="D30" s="66"/>
      <c r="E30" s="66"/>
      <c r="F30" s="13">
        <f aca="true" t="shared" si="6" ref="F30:M30">F31+F72</f>
        <v>77588680.99000001</v>
      </c>
      <c r="G30" s="13">
        <f t="shared" si="6"/>
        <v>17204276.64</v>
      </c>
      <c r="H30" s="13">
        <f t="shared" si="6"/>
        <v>35940406.59</v>
      </c>
      <c r="I30" s="34">
        <f t="shared" si="6"/>
        <v>9619527.57</v>
      </c>
      <c r="J30" s="13">
        <f t="shared" si="6"/>
        <v>4015746.61</v>
      </c>
      <c r="K30" s="13">
        <f t="shared" si="6"/>
        <v>3824830.96</v>
      </c>
      <c r="L30" s="13">
        <f t="shared" si="6"/>
        <v>3803700</v>
      </c>
      <c r="M30" s="13">
        <f t="shared" si="6"/>
        <v>59536215.629999995</v>
      </c>
      <c r="N30" s="27"/>
      <c r="O30" s="17"/>
    </row>
    <row r="31" spans="1:15" s="2" customFormat="1" ht="16.5" customHeight="1">
      <c r="A31" s="31" t="s">
        <v>24</v>
      </c>
      <c r="B31" s="79" t="s">
        <v>7</v>
      </c>
      <c r="C31" s="79"/>
      <c r="D31" s="79"/>
      <c r="E31" s="79"/>
      <c r="F31" s="12">
        <f>SUM(F32:F71)</f>
        <v>41244492.09</v>
      </c>
      <c r="G31" s="12">
        <f aca="true" t="shared" si="7" ref="G31:M31">SUM(G32:G71)</f>
        <v>8717063.64</v>
      </c>
      <c r="H31" s="12">
        <f t="shared" si="7"/>
        <v>22359324.59</v>
      </c>
      <c r="I31" s="12">
        <f t="shared" si="7"/>
        <v>6789527.569999999</v>
      </c>
      <c r="J31" s="12">
        <f t="shared" si="7"/>
        <v>355746.61</v>
      </c>
      <c r="K31" s="12">
        <f t="shared" si="7"/>
        <v>154830.96</v>
      </c>
      <c r="L31" s="12">
        <f t="shared" si="7"/>
        <v>143700</v>
      </c>
      <c r="M31" s="12">
        <f t="shared" si="7"/>
        <v>24448834.77</v>
      </c>
      <c r="N31" s="27"/>
      <c r="O31" s="17"/>
    </row>
    <row r="32" spans="1:20" s="2" customFormat="1" ht="86.25" customHeight="1">
      <c r="A32" s="30" t="s">
        <v>69</v>
      </c>
      <c r="B32" s="38" t="s">
        <v>36</v>
      </c>
      <c r="C32" s="15" t="s">
        <v>10</v>
      </c>
      <c r="D32" s="11">
        <v>2012</v>
      </c>
      <c r="E32" s="11">
        <v>2017</v>
      </c>
      <c r="F32" s="12">
        <v>255750</v>
      </c>
      <c r="G32" s="12">
        <v>57150</v>
      </c>
      <c r="H32" s="12">
        <v>57150</v>
      </c>
      <c r="I32" s="12">
        <v>19050</v>
      </c>
      <c r="J32" s="12"/>
      <c r="K32" s="12"/>
      <c r="L32" s="12"/>
      <c r="M32" s="39">
        <f>SUM(G32:I32)</f>
        <v>133350</v>
      </c>
      <c r="N32" s="27"/>
      <c r="O32" s="17"/>
      <c r="P32" s="4"/>
      <c r="Q32" s="4"/>
      <c r="R32" s="4"/>
      <c r="S32" s="4"/>
      <c r="T32" s="4"/>
    </row>
    <row r="33" spans="1:18" s="2" customFormat="1" ht="366.75" customHeight="1">
      <c r="A33" s="30" t="s">
        <v>25</v>
      </c>
      <c r="B33" s="38" t="s">
        <v>37</v>
      </c>
      <c r="C33" s="15" t="s">
        <v>10</v>
      </c>
      <c r="D33" s="11">
        <v>2012</v>
      </c>
      <c r="E33" s="11">
        <v>2016</v>
      </c>
      <c r="F33" s="12">
        <v>652000</v>
      </c>
      <c r="G33" s="12">
        <v>175000</v>
      </c>
      <c r="H33" s="12">
        <v>185000</v>
      </c>
      <c r="I33" s="12"/>
      <c r="J33" s="12"/>
      <c r="K33" s="12"/>
      <c r="L33" s="12"/>
      <c r="M33" s="39">
        <v>5517.86</v>
      </c>
      <c r="N33" s="27"/>
      <c r="O33" s="17"/>
      <c r="P33" s="4"/>
      <c r="Q33" s="4"/>
      <c r="R33" s="4"/>
    </row>
    <row r="34" spans="1:18" s="2" customFormat="1" ht="214.5" customHeight="1">
      <c r="A34" s="30" t="s">
        <v>70</v>
      </c>
      <c r="B34" s="38" t="s">
        <v>38</v>
      </c>
      <c r="C34" s="15" t="s">
        <v>10</v>
      </c>
      <c r="D34" s="11">
        <v>2013</v>
      </c>
      <c r="E34" s="11">
        <v>2017</v>
      </c>
      <c r="F34" s="12">
        <f>80000+4500+2500</f>
        <v>87000</v>
      </c>
      <c r="G34" s="12">
        <v>16000</v>
      </c>
      <c r="H34" s="12">
        <f>18000+4500</f>
        <v>22500</v>
      </c>
      <c r="I34" s="12">
        <f>20000+2500</f>
        <v>22500</v>
      </c>
      <c r="J34" s="12"/>
      <c r="K34" s="12"/>
      <c r="L34" s="12"/>
      <c r="M34" s="39">
        <f>16039.08+4500+2500</f>
        <v>23039.08</v>
      </c>
      <c r="N34" s="27"/>
      <c r="O34" s="17"/>
      <c r="R34" s="4"/>
    </row>
    <row r="35" spans="1:20" s="2" customFormat="1" ht="63" customHeight="1">
      <c r="A35" s="30" t="s">
        <v>71</v>
      </c>
      <c r="B35" s="38" t="s">
        <v>39</v>
      </c>
      <c r="C35" s="15" t="s">
        <v>10</v>
      </c>
      <c r="D35" s="11">
        <v>2013</v>
      </c>
      <c r="E35" s="11">
        <v>2017</v>
      </c>
      <c r="F35" s="12">
        <f>360000+822260</f>
        <v>1182260</v>
      </c>
      <c r="G35" s="12">
        <f>90000</f>
        <v>90000</v>
      </c>
      <c r="H35" s="12">
        <f>90000+522260</f>
        <v>612260</v>
      </c>
      <c r="I35" s="12">
        <v>300000</v>
      </c>
      <c r="J35" s="12"/>
      <c r="K35" s="12"/>
      <c r="L35" s="12"/>
      <c r="M35" s="12">
        <f>SUM(G35:K35)</f>
        <v>1002260</v>
      </c>
      <c r="N35" s="27"/>
      <c r="O35" s="17"/>
      <c r="R35" s="4"/>
      <c r="T35" s="4"/>
    </row>
    <row r="36" spans="1:20" s="14" customFormat="1" ht="139.5" customHeight="1">
      <c r="A36" s="32" t="s">
        <v>26</v>
      </c>
      <c r="B36" s="38" t="s">
        <v>40</v>
      </c>
      <c r="C36" s="15" t="s">
        <v>10</v>
      </c>
      <c r="D36" s="11">
        <v>2013</v>
      </c>
      <c r="E36" s="11">
        <v>2017</v>
      </c>
      <c r="F36" s="12">
        <v>3530000</v>
      </c>
      <c r="G36" s="12">
        <v>870000</v>
      </c>
      <c r="H36" s="12">
        <v>890000</v>
      </c>
      <c r="I36" s="12">
        <v>920000</v>
      </c>
      <c r="J36" s="12"/>
      <c r="K36" s="12"/>
      <c r="L36" s="12"/>
      <c r="M36" s="12">
        <v>0</v>
      </c>
      <c r="N36" s="27"/>
      <c r="O36" s="16"/>
      <c r="T36" s="16"/>
    </row>
    <row r="37" spans="1:20" s="14" customFormat="1" ht="38.25" customHeight="1">
      <c r="A37" s="32" t="s">
        <v>72</v>
      </c>
      <c r="B37" s="38" t="s">
        <v>41</v>
      </c>
      <c r="C37" s="15" t="s">
        <v>10</v>
      </c>
      <c r="D37" s="11">
        <v>2013</v>
      </c>
      <c r="E37" s="11">
        <v>2017</v>
      </c>
      <c r="F37" s="12">
        <v>3849376.69</v>
      </c>
      <c r="G37" s="12">
        <v>1154782.51</v>
      </c>
      <c r="H37" s="12">
        <v>1178700.88</v>
      </c>
      <c r="I37" s="12">
        <v>385029.15</v>
      </c>
      <c r="J37" s="12"/>
      <c r="K37" s="12"/>
      <c r="L37" s="12"/>
      <c r="M37" s="12">
        <v>0</v>
      </c>
      <c r="N37" s="27"/>
      <c r="O37" s="16"/>
      <c r="T37" s="16"/>
    </row>
    <row r="38" spans="1:20" s="14" customFormat="1" ht="90" customHeight="1">
      <c r="A38" s="32" t="s">
        <v>27</v>
      </c>
      <c r="B38" s="38" t="s">
        <v>42</v>
      </c>
      <c r="C38" s="40" t="s">
        <v>10</v>
      </c>
      <c r="D38" s="11">
        <v>2014</v>
      </c>
      <c r="E38" s="11">
        <v>2019</v>
      </c>
      <c r="F38" s="12">
        <f>SUM(G38:K38)</f>
        <v>49815</v>
      </c>
      <c r="G38" s="12">
        <v>9963</v>
      </c>
      <c r="H38" s="12">
        <v>9963</v>
      </c>
      <c r="I38" s="12">
        <v>9963</v>
      </c>
      <c r="J38" s="12">
        <v>9963</v>
      </c>
      <c r="K38" s="12">
        <v>9963</v>
      </c>
      <c r="L38" s="12"/>
      <c r="M38" s="12">
        <v>0</v>
      </c>
      <c r="N38" s="27"/>
      <c r="O38" s="16"/>
      <c r="T38" s="16"/>
    </row>
    <row r="39" spans="1:20" s="14" customFormat="1" ht="100.5" customHeight="1">
      <c r="A39" s="32" t="s">
        <v>28</v>
      </c>
      <c r="B39" s="38" t="s">
        <v>43</v>
      </c>
      <c r="C39" s="40" t="s">
        <v>10</v>
      </c>
      <c r="D39" s="11">
        <v>2014</v>
      </c>
      <c r="E39" s="11">
        <v>2017</v>
      </c>
      <c r="F39" s="12">
        <f>464270-121950</f>
        <v>342320</v>
      </c>
      <c r="G39" s="12">
        <v>100000</v>
      </c>
      <c r="H39" s="12">
        <f>151950-121950</f>
        <v>30000</v>
      </c>
      <c r="I39" s="12">
        <v>131400</v>
      </c>
      <c r="J39" s="12"/>
      <c r="K39" s="12"/>
      <c r="L39" s="12"/>
      <c r="M39" s="12">
        <f>SUM(G39:I39)</f>
        <v>261400</v>
      </c>
      <c r="N39" s="27"/>
      <c r="O39" s="16"/>
      <c r="T39" s="16"/>
    </row>
    <row r="40" spans="1:20" s="14" customFormat="1" ht="77.25" customHeight="1">
      <c r="A40" s="32" t="s">
        <v>73</v>
      </c>
      <c r="B40" s="38" t="s">
        <v>44</v>
      </c>
      <c r="C40" s="40" t="s">
        <v>10</v>
      </c>
      <c r="D40" s="11">
        <v>2014</v>
      </c>
      <c r="E40" s="11">
        <v>2016</v>
      </c>
      <c r="F40" s="12">
        <f>1183550-1002-6000-125000-3100-80000+125000</f>
        <v>1093448</v>
      </c>
      <c r="G40" s="12">
        <f>514000+220000-1002-6000-125000-3100-80000+125000</f>
        <v>643898</v>
      </c>
      <c r="H40" s="12">
        <f>659200-250000</f>
        <v>409200</v>
      </c>
      <c r="I40" s="12"/>
      <c r="J40" s="12"/>
      <c r="K40" s="12"/>
      <c r="L40" s="12"/>
      <c r="M40" s="12">
        <f>SUM(G40:H40)</f>
        <v>1053098</v>
      </c>
      <c r="N40" s="27"/>
      <c r="O40" s="16"/>
      <c r="T40" s="16"/>
    </row>
    <row r="41" spans="1:20" s="14" customFormat="1" ht="126" customHeight="1">
      <c r="A41" s="32" t="s">
        <v>74</v>
      </c>
      <c r="B41" s="38" t="s">
        <v>45</v>
      </c>
      <c r="C41" s="40" t="s">
        <v>10</v>
      </c>
      <c r="D41" s="11">
        <v>2014</v>
      </c>
      <c r="E41" s="11">
        <v>2018</v>
      </c>
      <c r="F41" s="12">
        <v>9849.45</v>
      </c>
      <c r="G41" s="12">
        <v>2250</v>
      </c>
      <c r="H41" s="12">
        <v>2250</v>
      </c>
      <c r="I41" s="12">
        <v>2250</v>
      </c>
      <c r="J41" s="12">
        <v>2250</v>
      </c>
      <c r="K41" s="12"/>
      <c r="L41" s="12"/>
      <c r="M41" s="12">
        <v>0</v>
      </c>
      <c r="N41" s="27"/>
      <c r="O41" s="16"/>
      <c r="T41" s="16"/>
    </row>
    <row r="42" spans="1:20" s="14" customFormat="1" ht="112.5" customHeight="1">
      <c r="A42" s="32" t="s">
        <v>29</v>
      </c>
      <c r="B42" s="38" t="s">
        <v>49</v>
      </c>
      <c r="C42" s="40" t="s">
        <v>10</v>
      </c>
      <c r="D42" s="11">
        <v>2014</v>
      </c>
      <c r="E42" s="11">
        <v>2019</v>
      </c>
      <c r="F42" s="12">
        <v>6224.59</v>
      </c>
      <c r="G42" s="12">
        <v>960.88</v>
      </c>
      <c r="H42" s="12">
        <v>1008.92</v>
      </c>
      <c r="I42" s="12">
        <v>1059.37</v>
      </c>
      <c r="J42" s="12">
        <v>1112.34</v>
      </c>
      <c r="K42" s="12">
        <v>1167.96</v>
      </c>
      <c r="L42" s="12"/>
      <c r="M42" s="12">
        <f>SUM(G42:K42)</f>
        <v>5309.47</v>
      </c>
      <c r="N42" s="27"/>
      <c r="O42" s="16"/>
      <c r="T42" s="16"/>
    </row>
    <row r="43" spans="1:20" s="14" customFormat="1" ht="76.5" customHeight="1">
      <c r="A43" s="32" t="s">
        <v>75</v>
      </c>
      <c r="B43" s="38" t="s">
        <v>60</v>
      </c>
      <c r="C43" s="40" t="s">
        <v>10</v>
      </c>
      <c r="D43" s="11">
        <v>2014</v>
      </c>
      <c r="E43" s="11">
        <v>2017</v>
      </c>
      <c r="F43" s="12">
        <f>SUM(G43:I43)</f>
        <v>48000</v>
      </c>
      <c r="G43" s="12">
        <v>16000</v>
      </c>
      <c r="H43" s="12">
        <v>16000</v>
      </c>
      <c r="I43" s="12">
        <v>16000</v>
      </c>
      <c r="J43" s="12"/>
      <c r="K43" s="12"/>
      <c r="L43" s="12"/>
      <c r="M43" s="12">
        <f>SUM(G43:J43)</f>
        <v>48000</v>
      </c>
      <c r="N43" s="27"/>
      <c r="O43" s="16"/>
      <c r="T43" s="16"/>
    </row>
    <row r="44" spans="1:20" s="14" customFormat="1" ht="64.5" customHeight="1">
      <c r="A44" s="32" t="s">
        <v>54</v>
      </c>
      <c r="B44" s="38" t="s">
        <v>61</v>
      </c>
      <c r="C44" s="40" t="s">
        <v>10</v>
      </c>
      <c r="D44" s="11">
        <v>2014</v>
      </c>
      <c r="E44" s="11">
        <v>2017</v>
      </c>
      <c r="F44" s="12">
        <f>SUM(G44:I44)</f>
        <v>2944657.29</v>
      </c>
      <c r="G44" s="12">
        <v>962157.96</v>
      </c>
      <c r="H44" s="12">
        <v>981545.05</v>
      </c>
      <c r="I44" s="12">
        <v>1000954.28</v>
      </c>
      <c r="J44" s="12"/>
      <c r="K44" s="12"/>
      <c r="L44" s="12"/>
      <c r="M44" s="12">
        <f>SUM(G44:I44)</f>
        <v>2944657.29</v>
      </c>
      <c r="N44" s="27"/>
      <c r="O44" s="16"/>
      <c r="T44" s="16"/>
    </row>
    <row r="45" spans="1:20" s="14" customFormat="1" ht="126" customHeight="1">
      <c r="A45" s="32" t="s">
        <v>76</v>
      </c>
      <c r="B45" s="38" t="s">
        <v>56</v>
      </c>
      <c r="C45" s="40" t="s">
        <v>10</v>
      </c>
      <c r="D45" s="11">
        <v>2014</v>
      </c>
      <c r="E45" s="11">
        <v>2016</v>
      </c>
      <c r="F45" s="12">
        <f>SUM(G45:H45)</f>
        <v>43000</v>
      </c>
      <c r="G45" s="12">
        <v>28000</v>
      </c>
      <c r="H45" s="12">
        <v>15000</v>
      </c>
      <c r="I45" s="12"/>
      <c r="J45" s="12"/>
      <c r="K45" s="12"/>
      <c r="L45" s="12"/>
      <c r="M45" s="12">
        <f>SUM(G45:H45)</f>
        <v>43000</v>
      </c>
      <c r="N45" s="27"/>
      <c r="O45" s="16"/>
      <c r="T45" s="16"/>
    </row>
    <row r="46" spans="1:20" s="14" customFormat="1" ht="75" customHeight="1">
      <c r="A46" s="32" t="s">
        <v>77</v>
      </c>
      <c r="B46" s="38" t="s">
        <v>55</v>
      </c>
      <c r="C46" s="40" t="s">
        <v>10</v>
      </c>
      <c r="D46" s="11">
        <v>2014</v>
      </c>
      <c r="E46" s="11">
        <v>2016</v>
      </c>
      <c r="F46" s="12">
        <f>SUM(G46:H46)</f>
        <v>274000</v>
      </c>
      <c r="G46" s="12">
        <v>205500</v>
      </c>
      <c r="H46" s="12">
        <v>68500</v>
      </c>
      <c r="I46" s="12"/>
      <c r="J46" s="12"/>
      <c r="K46" s="12"/>
      <c r="L46" s="12"/>
      <c r="M46" s="12">
        <f>SUM(G46:H46)</f>
        <v>274000</v>
      </c>
      <c r="N46" s="27"/>
      <c r="O46" s="16"/>
      <c r="T46" s="16"/>
    </row>
    <row r="47" spans="1:20" s="14" customFormat="1" ht="63.75" customHeight="1">
      <c r="A47" s="32" t="s">
        <v>78</v>
      </c>
      <c r="B47" s="38" t="s">
        <v>62</v>
      </c>
      <c r="C47" s="40" t="s">
        <v>10</v>
      </c>
      <c r="D47" s="11">
        <v>2014</v>
      </c>
      <c r="E47" s="11">
        <v>2017</v>
      </c>
      <c r="F47" s="12">
        <f>SUM(G47:I47)</f>
        <v>7807860</v>
      </c>
      <c r="G47" s="12">
        <f>6000000-4097472</f>
        <v>1902528</v>
      </c>
      <c r="H47" s="12">
        <f>14000000-10096070</f>
        <v>3903930</v>
      </c>
      <c r="I47" s="12">
        <f>7000000-4998598</f>
        <v>2001402</v>
      </c>
      <c r="J47" s="12"/>
      <c r="K47" s="12"/>
      <c r="L47" s="12"/>
      <c r="M47" s="12">
        <f>27000000-27000000</f>
        <v>0</v>
      </c>
      <c r="N47" s="27"/>
      <c r="O47" s="16"/>
      <c r="T47" s="16"/>
    </row>
    <row r="48" spans="1:20" s="14" customFormat="1" ht="77.25" customHeight="1">
      <c r="A48" s="32" t="s">
        <v>79</v>
      </c>
      <c r="B48" s="38" t="s">
        <v>53</v>
      </c>
      <c r="C48" s="40" t="s">
        <v>10</v>
      </c>
      <c r="D48" s="11">
        <v>2014</v>
      </c>
      <c r="E48" s="11">
        <v>2017</v>
      </c>
      <c r="F48" s="12">
        <f>SUM(G48:I48)</f>
        <v>339782</v>
      </c>
      <c r="G48" s="12">
        <f>107000-6017</f>
        <v>100983</v>
      </c>
      <c r="H48" s="12">
        <f>154000-24419.5+48000</f>
        <v>177580.5</v>
      </c>
      <c r="I48" s="12">
        <f>156000-111781.5+17000</f>
        <v>61218.5</v>
      </c>
      <c r="J48" s="12"/>
      <c r="K48" s="12"/>
      <c r="L48" s="12"/>
      <c r="M48" s="12">
        <v>65000</v>
      </c>
      <c r="N48" s="27"/>
      <c r="O48" s="16"/>
      <c r="T48" s="16"/>
    </row>
    <row r="49" spans="1:20" s="14" customFormat="1" ht="113.25" customHeight="1">
      <c r="A49" s="32" t="s">
        <v>80</v>
      </c>
      <c r="B49" s="38" t="s">
        <v>57</v>
      </c>
      <c r="C49" s="40" t="s">
        <v>10</v>
      </c>
      <c r="D49" s="11">
        <v>2014</v>
      </c>
      <c r="E49" s="11">
        <v>2016</v>
      </c>
      <c r="F49" s="12">
        <f>SUM(G49:H49)</f>
        <v>2119622.2600000002</v>
      </c>
      <c r="G49" s="12">
        <f>1490000+423429.29</f>
        <v>1913429.29</v>
      </c>
      <c r="H49" s="12">
        <f>265000-58807.03</f>
        <v>206192.97</v>
      </c>
      <c r="I49" s="12"/>
      <c r="J49" s="12"/>
      <c r="K49" s="12"/>
      <c r="L49" s="12"/>
      <c r="M49" s="12">
        <f>SUM(G49:H49)</f>
        <v>2119622.2600000002</v>
      </c>
      <c r="N49" s="27"/>
      <c r="O49" s="16"/>
      <c r="T49" s="16"/>
    </row>
    <row r="50" spans="1:20" s="14" customFormat="1" ht="105.75" customHeight="1">
      <c r="A50" s="32" t="s">
        <v>81</v>
      </c>
      <c r="B50" s="38" t="s">
        <v>66</v>
      </c>
      <c r="C50" s="40" t="s">
        <v>10</v>
      </c>
      <c r="D50" s="11">
        <v>2015</v>
      </c>
      <c r="E50" s="11">
        <v>2016</v>
      </c>
      <c r="F50" s="12">
        <f>SUM(G50:H50)</f>
        <v>24000</v>
      </c>
      <c r="G50" s="12">
        <v>18000</v>
      </c>
      <c r="H50" s="12">
        <v>6000</v>
      </c>
      <c r="I50" s="12"/>
      <c r="J50" s="12"/>
      <c r="K50" s="12"/>
      <c r="L50" s="12"/>
      <c r="M50" s="12">
        <f>SUM(G50:H50)</f>
        <v>24000</v>
      </c>
      <c r="N50" s="27"/>
      <c r="O50" s="16"/>
      <c r="T50" s="16"/>
    </row>
    <row r="51" spans="1:20" s="14" customFormat="1" ht="152.25" customHeight="1">
      <c r="A51" s="32" t="s">
        <v>82</v>
      </c>
      <c r="B51" s="38" t="s">
        <v>67</v>
      </c>
      <c r="C51" s="40" t="s">
        <v>10</v>
      </c>
      <c r="D51" s="11">
        <v>2015</v>
      </c>
      <c r="E51" s="11">
        <v>2017</v>
      </c>
      <c r="F51" s="12">
        <f aca="true" t="shared" si="8" ref="F51:F59">SUM(G51:I51)</f>
        <v>27060</v>
      </c>
      <c r="G51" s="12">
        <v>7380</v>
      </c>
      <c r="H51" s="12">
        <v>7380</v>
      </c>
      <c r="I51" s="12">
        <v>12300</v>
      </c>
      <c r="J51" s="12"/>
      <c r="K51" s="12"/>
      <c r="L51" s="12"/>
      <c r="M51" s="12">
        <f>SUM(G51:I51)</f>
        <v>27060</v>
      </c>
      <c r="N51" s="27"/>
      <c r="O51" s="16"/>
      <c r="T51" s="16"/>
    </row>
    <row r="52" spans="1:20" s="14" customFormat="1" ht="74.25" customHeight="1">
      <c r="A52" s="32" t="s">
        <v>58</v>
      </c>
      <c r="B52" s="38" t="s">
        <v>89</v>
      </c>
      <c r="C52" s="40" t="s">
        <v>10</v>
      </c>
      <c r="D52" s="11">
        <v>2015</v>
      </c>
      <c r="E52" s="11">
        <v>2017</v>
      </c>
      <c r="F52" s="12">
        <f t="shared" si="8"/>
        <v>105000</v>
      </c>
      <c r="G52" s="12">
        <f>45000-10000</f>
        <v>35000</v>
      </c>
      <c r="H52" s="12">
        <f>46000-11000</f>
        <v>35000</v>
      </c>
      <c r="I52" s="12">
        <f>46000-11000</f>
        <v>35000</v>
      </c>
      <c r="J52" s="12"/>
      <c r="K52" s="12"/>
      <c r="L52" s="12"/>
      <c r="M52" s="12">
        <f>SUM(G52:I52)</f>
        <v>105000</v>
      </c>
      <c r="N52" s="27"/>
      <c r="O52" s="16"/>
      <c r="T52" s="16"/>
    </row>
    <row r="53" spans="1:20" s="14" customFormat="1" ht="101.25" customHeight="1">
      <c r="A53" s="32" t="s">
        <v>59</v>
      </c>
      <c r="B53" s="38" t="s">
        <v>88</v>
      </c>
      <c r="C53" s="40" t="s">
        <v>10</v>
      </c>
      <c r="D53" s="11">
        <v>2015</v>
      </c>
      <c r="E53" s="11">
        <v>2017</v>
      </c>
      <c r="F53" s="12">
        <f t="shared" si="8"/>
        <v>153000</v>
      </c>
      <c r="G53" s="12">
        <v>50000</v>
      </c>
      <c r="H53" s="12">
        <v>51000</v>
      </c>
      <c r="I53" s="12">
        <v>52000</v>
      </c>
      <c r="J53" s="12"/>
      <c r="K53" s="12"/>
      <c r="L53" s="12"/>
      <c r="M53" s="12">
        <f>SUM(G53:I53)</f>
        <v>153000</v>
      </c>
      <c r="N53" s="27"/>
      <c r="O53" s="16"/>
      <c r="T53" s="16"/>
    </row>
    <row r="54" spans="1:20" s="14" customFormat="1" ht="105.75" customHeight="1">
      <c r="A54" s="32" t="s">
        <v>83</v>
      </c>
      <c r="B54" s="38" t="s">
        <v>68</v>
      </c>
      <c r="C54" s="40" t="s">
        <v>10</v>
      </c>
      <c r="D54" s="11">
        <v>2015</v>
      </c>
      <c r="E54" s="11">
        <v>2017</v>
      </c>
      <c r="F54" s="12">
        <f t="shared" si="8"/>
        <v>255000</v>
      </c>
      <c r="G54" s="12">
        <v>85000</v>
      </c>
      <c r="H54" s="12">
        <v>85000</v>
      </c>
      <c r="I54" s="12">
        <v>85000</v>
      </c>
      <c r="J54" s="12"/>
      <c r="K54" s="12"/>
      <c r="L54" s="12"/>
      <c r="M54" s="12">
        <f>SUM(G54:I54)</f>
        <v>255000</v>
      </c>
      <c r="N54" s="27"/>
      <c r="O54" s="16"/>
      <c r="T54" s="16"/>
    </row>
    <row r="55" spans="1:20" s="14" customFormat="1" ht="92.25" customHeight="1">
      <c r="A55" s="32" t="s">
        <v>90</v>
      </c>
      <c r="B55" s="38" t="s">
        <v>91</v>
      </c>
      <c r="C55" s="40" t="s">
        <v>10</v>
      </c>
      <c r="D55" s="11">
        <v>2015</v>
      </c>
      <c r="E55" s="11">
        <v>2017</v>
      </c>
      <c r="F55" s="12">
        <f t="shared" si="8"/>
        <v>2600000</v>
      </c>
      <c r="G55" s="12">
        <v>0</v>
      </c>
      <c r="H55" s="12">
        <v>1300000</v>
      </c>
      <c r="I55" s="12">
        <v>1300000</v>
      </c>
      <c r="J55" s="12"/>
      <c r="K55" s="12"/>
      <c r="L55" s="12"/>
      <c r="M55" s="12">
        <f>SUM(G55:I55)</f>
        <v>2600000</v>
      </c>
      <c r="N55" s="27"/>
      <c r="O55" s="16"/>
      <c r="T55" s="16"/>
    </row>
    <row r="56" spans="1:20" s="14" customFormat="1" ht="66.75" customHeight="1">
      <c r="A56" s="32" t="s">
        <v>93</v>
      </c>
      <c r="B56" s="38" t="s">
        <v>94</v>
      </c>
      <c r="C56" s="40" t="s">
        <v>92</v>
      </c>
      <c r="D56" s="11">
        <v>2015</v>
      </c>
      <c r="E56" s="11">
        <v>2016</v>
      </c>
      <c r="F56" s="12">
        <f t="shared" si="8"/>
        <v>423800</v>
      </c>
      <c r="G56" s="12">
        <v>123800</v>
      </c>
      <c r="H56" s="12">
        <v>300000</v>
      </c>
      <c r="I56" s="12"/>
      <c r="J56" s="12"/>
      <c r="K56" s="12"/>
      <c r="L56" s="12"/>
      <c r="M56" s="12">
        <f>SUM(G56:K56)</f>
        <v>423800</v>
      </c>
      <c r="N56" s="27"/>
      <c r="O56" s="16"/>
      <c r="T56" s="16"/>
    </row>
    <row r="57" spans="1:20" s="14" customFormat="1" ht="114.75" customHeight="1">
      <c r="A57" s="32" t="s">
        <v>99</v>
      </c>
      <c r="B57" s="38" t="s">
        <v>101</v>
      </c>
      <c r="C57" s="40" t="s">
        <v>10</v>
      </c>
      <c r="D57" s="11">
        <v>2015</v>
      </c>
      <c r="E57" s="11">
        <v>2016</v>
      </c>
      <c r="F57" s="12">
        <f t="shared" si="8"/>
        <v>1850000</v>
      </c>
      <c r="G57" s="12">
        <v>0</v>
      </c>
      <c r="H57" s="12">
        <v>1850000</v>
      </c>
      <c r="I57" s="12"/>
      <c r="J57" s="12"/>
      <c r="K57" s="12"/>
      <c r="L57" s="12"/>
      <c r="M57" s="12">
        <f>SUM(G57:K57)</f>
        <v>1850000</v>
      </c>
      <c r="N57" s="27"/>
      <c r="O57" s="16"/>
      <c r="T57" s="16"/>
    </row>
    <row r="58" spans="1:20" s="14" customFormat="1" ht="144.75" customHeight="1">
      <c r="A58" s="32" t="s">
        <v>100</v>
      </c>
      <c r="B58" s="38" t="s">
        <v>102</v>
      </c>
      <c r="C58" s="40" t="s">
        <v>10</v>
      </c>
      <c r="D58" s="11">
        <v>2015</v>
      </c>
      <c r="E58" s="11">
        <v>2016</v>
      </c>
      <c r="F58" s="12">
        <f t="shared" si="8"/>
        <v>470000</v>
      </c>
      <c r="G58" s="12">
        <v>0</v>
      </c>
      <c r="H58" s="12">
        <v>470000</v>
      </c>
      <c r="I58" s="12"/>
      <c r="J58" s="12"/>
      <c r="K58" s="12"/>
      <c r="L58" s="12"/>
      <c r="M58" s="12">
        <f>SUM(G58:K58)</f>
        <v>470000</v>
      </c>
      <c r="N58" s="27"/>
      <c r="O58" s="16"/>
      <c r="T58" s="16"/>
    </row>
    <row r="59" spans="1:20" s="14" customFormat="1" ht="165.75" customHeight="1">
      <c r="A59" s="32" t="s">
        <v>106</v>
      </c>
      <c r="B59" s="38" t="s">
        <v>108</v>
      </c>
      <c r="C59" s="40" t="s">
        <v>10</v>
      </c>
      <c r="D59" s="11">
        <v>2015</v>
      </c>
      <c r="E59" s="11">
        <v>2017</v>
      </c>
      <c r="F59" s="12">
        <f t="shared" si="8"/>
        <v>138946</v>
      </c>
      <c r="G59" s="12">
        <f>88242.75-43141.75</f>
        <v>45101</v>
      </c>
      <c r="H59" s="12">
        <f>118000-43625</f>
        <v>74375</v>
      </c>
      <c r="I59" s="12">
        <f>70000-50530</f>
        <v>19470</v>
      </c>
      <c r="J59" s="12"/>
      <c r="K59" s="12"/>
      <c r="L59" s="12"/>
      <c r="M59" s="12">
        <f>276242.75-276242.75</f>
        <v>0</v>
      </c>
      <c r="N59" s="27"/>
      <c r="O59" s="16"/>
      <c r="T59" s="16"/>
    </row>
    <row r="60" spans="1:20" s="14" customFormat="1" ht="100.5" customHeight="1">
      <c r="A60" s="32" t="s">
        <v>107</v>
      </c>
      <c r="B60" s="38" t="s">
        <v>110</v>
      </c>
      <c r="C60" s="40" t="s">
        <v>10</v>
      </c>
      <c r="D60" s="11">
        <v>2015</v>
      </c>
      <c r="E60" s="11">
        <v>2020</v>
      </c>
      <c r="F60" s="12">
        <f>SUM(G60:L60)</f>
        <v>90000</v>
      </c>
      <c r="G60" s="12">
        <v>15000</v>
      </c>
      <c r="H60" s="12">
        <v>15000</v>
      </c>
      <c r="I60" s="12">
        <v>15000</v>
      </c>
      <c r="J60" s="12">
        <v>15000</v>
      </c>
      <c r="K60" s="12">
        <v>15000</v>
      </c>
      <c r="L60" s="12">
        <v>15000</v>
      </c>
      <c r="M60" s="12">
        <f>SUM(G60:L60)</f>
        <v>90000</v>
      </c>
      <c r="N60" s="27"/>
      <c r="O60" s="16"/>
      <c r="T60" s="16"/>
    </row>
    <row r="61" spans="1:20" s="14" customFormat="1" ht="103.5" customHeight="1">
      <c r="A61" s="32" t="s">
        <v>109</v>
      </c>
      <c r="B61" s="38" t="s">
        <v>113</v>
      </c>
      <c r="C61" s="40" t="s">
        <v>10</v>
      </c>
      <c r="D61" s="11">
        <v>2015</v>
      </c>
      <c r="E61" s="11">
        <v>2016</v>
      </c>
      <c r="F61" s="12">
        <f>SUM(G61:L61)</f>
        <v>2850000</v>
      </c>
      <c r="G61" s="12">
        <v>0</v>
      </c>
      <c r="H61" s="12">
        <v>2850000</v>
      </c>
      <c r="I61" s="12"/>
      <c r="J61" s="12"/>
      <c r="K61" s="12"/>
      <c r="L61" s="12"/>
      <c r="M61" s="12">
        <f>SUM(G61:L61)</f>
        <v>2850000</v>
      </c>
      <c r="N61" s="27"/>
      <c r="O61" s="16"/>
      <c r="T61" s="16"/>
    </row>
    <row r="62" spans="1:20" s="14" customFormat="1" ht="191.25" customHeight="1">
      <c r="A62" s="32" t="s">
        <v>114</v>
      </c>
      <c r="B62" s="38" t="s">
        <v>116</v>
      </c>
      <c r="C62" s="40" t="s">
        <v>10</v>
      </c>
      <c r="D62" s="11">
        <v>2015</v>
      </c>
      <c r="E62" s="11">
        <v>2017</v>
      </c>
      <c r="F62" s="12">
        <f>SUM(G62:I62)</f>
        <v>350844</v>
      </c>
      <c r="G62" s="12">
        <v>89180</v>
      </c>
      <c r="H62" s="12">
        <v>221664</v>
      </c>
      <c r="I62" s="12">
        <v>40000</v>
      </c>
      <c r="J62" s="12"/>
      <c r="K62" s="12"/>
      <c r="L62" s="12"/>
      <c r="M62" s="12">
        <f>SUM(G62:K62)</f>
        <v>350844</v>
      </c>
      <c r="N62" s="27"/>
      <c r="O62" s="16"/>
      <c r="T62" s="16"/>
    </row>
    <row r="63" spans="1:20" s="14" customFormat="1" ht="129.75" customHeight="1">
      <c r="A63" s="32" t="s">
        <v>115</v>
      </c>
      <c r="B63" s="38" t="s">
        <v>140</v>
      </c>
      <c r="C63" s="40" t="s">
        <v>10</v>
      </c>
      <c r="D63" s="11">
        <v>2015</v>
      </c>
      <c r="E63" s="11">
        <v>2017</v>
      </c>
      <c r="F63" s="12">
        <f>SUM(G63:I63)</f>
        <v>45510</v>
      </c>
      <c r="G63" s="12">
        <v>0</v>
      </c>
      <c r="H63" s="12">
        <v>20000</v>
      </c>
      <c r="I63" s="12">
        <v>25510</v>
      </c>
      <c r="J63" s="12"/>
      <c r="K63" s="12"/>
      <c r="L63" s="12"/>
      <c r="M63" s="12">
        <f>SUM(G63:J63)</f>
        <v>45510</v>
      </c>
      <c r="N63" s="27"/>
      <c r="O63" s="16"/>
      <c r="T63" s="16"/>
    </row>
    <row r="64" spans="1:20" s="14" customFormat="1" ht="141" customHeight="1">
      <c r="A64" s="32" t="s">
        <v>130</v>
      </c>
      <c r="B64" s="38" t="s">
        <v>141</v>
      </c>
      <c r="C64" s="40" t="s">
        <v>10</v>
      </c>
      <c r="D64" s="11">
        <v>2015</v>
      </c>
      <c r="E64" s="11">
        <v>2017</v>
      </c>
      <c r="F64" s="12">
        <f>SUM(G64:I64)</f>
        <v>12865</v>
      </c>
      <c r="G64" s="12">
        <v>0</v>
      </c>
      <c r="H64" s="12">
        <v>5865</v>
      </c>
      <c r="I64" s="12">
        <v>7000</v>
      </c>
      <c r="J64" s="12"/>
      <c r="K64" s="12"/>
      <c r="L64" s="12"/>
      <c r="M64" s="12">
        <f>SUM(G64:K64)</f>
        <v>12865</v>
      </c>
      <c r="N64" s="27"/>
      <c r="O64" s="16"/>
      <c r="T64" s="16"/>
    </row>
    <row r="65" spans="1:20" s="14" customFormat="1" ht="99.75" customHeight="1">
      <c r="A65" s="32" t="s">
        <v>133</v>
      </c>
      <c r="B65" s="38" t="s">
        <v>155</v>
      </c>
      <c r="C65" s="40" t="s">
        <v>10</v>
      </c>
      <c r="D65" s="11">
        <v>2015</v>
      </c>
      <c r="E65" s="11">
        <v>2016</v>
      </c>
      <c r="F65" s="12">
        <f>SUM(G65:J65)</f>
        <v>5200000</v>
      </c>
      <c r="G65" s="12">
        <v>0</v>
      </c>
      <c r="H65" s="12">
        <f>8730000-3530000</f>
        <v>5200000</v>
      </c>
      <c r="I65" s="12"/>
      <c r="J65" s="12"/>
      <c r="K65" s="12"/>
      <c r="L65" s="12"/>
      <c r="M65" s="12">
        <f>SUM(G65:J65)</f>
        <v>5200000</v>
      </c>
      <c r="N65" s="27"/>
      <c r="O65" s="16"/>
      <c r="T65" s="16"/>
    </row>
    <row r="66" spans="1:20" s="14" customFormat="1" ht="103.5" customHeight="1">
      <c r="A66" s="32" t="s">
        <v>142</v>
      </c>
      <c r="B66" s="38" t="s">
        <v>144</v>
      </c>
      <c r="C66" s="40" t="s">
        <v>10</v>
      </c>
      <c r="D66" s="11">
        <v>2015</v>
      </c>
      <c r="E66" s="11">
        <v>2016</v>
      </c>
      <c r="F66" s="12">
        <f>SUM(G66:H66)</f>
        <v>325000</v>
      </c>
      <c r="G66" s="12">
        <v>0</v>
      </c>
      <c r="H66" s="12">
        <v>325000</v>
      </c>
      <c r="I66" s="12"/>
      <c r="J66" s="12"/>
      <c r="K66" s="12"/>
      <c r="L66" s="12"/>
      <c r="M66" s="12">
        <f>SUM(G66:J66)</f>
        <v>325000</v>
      </c>
      <c r="N66" s="27"/>
      <c r="O66" s="16"/>
      <c r="T66" s="16"/>
    </row>
    <row r="67" spans="1:20" s="14" customFormat="1" ht="141" customHeight="1">
      <c r="A67" s="32" t="s">
        <v>143</v>
      </c>
      <c r="B67" s="38" t="s">
        <v>146</v>
      </c>
      <c r="C67" s="40" t="s">
        <v>10</v>
      </c>
      <c r="D67" s="11">
        <v>2015</v>
      </c>
      <c r="E67" s="11">
        <v>2016</v>
      </c>
      <c r="F67" s="12">
        <f>SUM(G67:I67)</f>
        <v>162000</v>
      </c>
      <c r="G67" s="12">
        <v>0</v>
      </c>
      <c r="H67" s="12">
        <v>162000</v>
      </c>
      <c r="I67" s="12"/>
      <c r="J67" s="12"/>
      <c r="K67" s="12"/>
      <c r="L67" s="12"/>
      <c r="M67" s="12">
        <f>SUM(G67:J67)</f>
        <v>162000</v>
      </c>
      <c r="N67" s="27"/>
      <c r="O67" s="16"/>
      <c r="T67" s="16"/>
    </row>
    <row r="68" spans="1:20" s="14" customFormat="1" ht="104.25" customHeight="1">
      <c r="A68" s="32" t="s">
        <v>145</v>
      </c>
      <c r="B68" s="38" t="s">
        <v>148</v>
      </c>
      <c r="C68" s="40" t="s">
        <v>10</v>
      </c>
      <c r="D68" s="11">
        <v>2015</v>
      </c>
      <c r="E68" s="11">
        <v>2016</v>
      </c>
      <c r="F68" s="12">
        <f>SUM(G68:I68)</f>
        <v>107000</v>
      </c>
      <c r="G68" s="12">
        <v>0</v>
      </c>
      <c r="H68" s="12">
        <v>107000</v>
      </c>
      <c r="I68" s="12"/>
      <c r="J68" s="12"/>
      <c r="K68" s="12"/>
      <c r="L68" s="12"/>
      <c r="M68" s="12">
        <f>SUM(G68:J68)</f>
        <v>107000</v>
      </c>
      <c r="N68" s="27"/>
      <c r="O68" s="16"/>
      <c r="T68" s="16"/>
    </row>
    <row r="69" spans="1:20" s="14" customFormat="1" ht="54" customHeight="1">
      <c r="A69" s="32" t="s">
        <v>147</v>
      </c>
      <c r="B69" s="38" t="s">
        <v>150</v>
      </c>
      <c r="C69" s="40" t="s">
        <v>10</v>
      </c>
      <c r="D69" s="11">
        <v>2015</v>
      </c>
      <c r="E69" s="11">
        <v>2018</v>
      </c>
      <c r="F69" s="12">
        <f>SUM(G69:J69)</f>
        <v>596163.8099999999</v>
      </c>
      <c r="G69" s="12">
        <v>0</v>
      </c>
      <c r="H69" s="12">
        <v>198721.27</v>
      </c>
      <c r="I69" s="12">
        <v>198721.27</v>
      </c>
      <c r="J69" s="12">
        <v>198721.27</v>
      </c>
      <c r="K69" s="12"/>
      <c r="L69" s="12"/>
      <c r="M69" s="12">
        <f>SUM(G69:J69)</f>
        <v>596163.8099999999</v>
      </c>
      <c r="N69" s="27"/>
      <c r="O69" s="16"/>
      <c r="T69" s="16"/>
    </row>
    <row r="70" spans="1:20" s="14" customFormat="1" ht="75" customHeight="1">
      <c r="A70" s="32" t="s">
        <v>149</v>
      </c>
      <c r="B70" s="38" t="s">
        <v>157</v>
      </c>
      <c r="C70" s="40" t="s">
        <v>10</v>
      </c>
      <c r="D70" s="11">
        <v>2015</v>
      </c>
      <c r="E70" s="11">
        <v>2020</v>
      </c>
      <c r="F70" s="12">
        <f>SUM(G70:L70)</f>
        <v>643500</v>
      </c>
      <c r="G70" s="12">
        <v>0</v>
      </c>
      <c r="H70" s="12">
        <v>128700</v>
      </c>
      <c r="I70" s="12">
        <v>128700</v>
      </c>
      <c r="J70" s="12">
        <v>128700</v>
      </c>
      <c r="K70" s="12">
        <v>128700</v>
      </c>
      <c r="L70" s="12">
        <v>128700</v>
      </c>
      <c r="M70" s="12">
        <f>SUM(G70:L70)</f>
        <v>643500</v>
      </c>
      <c r="N70" s="27"/>
      <c r="O70" s="16"/>
      <c r="T70" s="16"/>
    </row>
    <row r="71" spans="1:20" s="14" customFormat="1" ht="66.75" customHeight="1">
      <c r="A71" s="32" t="s">
        <v>166</v>
      </c>
      <c r="B71" s="38" t="s">
        <v>167</v>
      </c>
      <c r="C71" s="40" t="s">
        <v>10</v>
      </c>
      <c r="D71" s="11">
        <v>2015</v>
      </c>
      <c r="E71" s="11">
        <v>2016</v>
      </c>
      <c r="F71" s="12">
        <f>SUM(G71:H71)</f>
        <v>179838</v>
      </c>
      <c r="G71" s="12">
        <v>0</v>
      </c>
      <c r="H71" s="12">
        <v>179838</v>
      </c>
      <c r="I71" s="12"/>
      <c r="J71" s="12"/>
      <c r="K71" s="12"/>
      <c r="L71" s="12"/>
      <c r="M71" s="12">
        <f>SUM(G71:I71)</f>
        <v>179838</v>
      </c>
      <c r="N71" s="27"/>
      <c r="O71" s="16"/>
      <c r="T71" s="16"/>
    </row>
    <row r="72" spans="1:16" s="2" customFormat="1" ht="27.75" customHeight="1">
      <c r="A72" s="31" t="s">
        <v>30</v>
      </c>
      <c r="B72" s="24" t="s">
        <v>18</v>
      </c>
      <c r="C72" s="15"/>
      <c r="D72" s="11"/>
      <c r="E72" s="11"/>
      <c r="F72" s="12">
        <f>SUM(F73:F87)</f>
        <v>36344188.9</v>
      </c>
      <c r="G72" s="12">
        <f aca="true" t="shared" si="9" ref="G72:M72">SUM(G73:G87)</f>
        <v>8487213</v>
      </c>
      <c r="H72" s="12">
        <f t="shared" si="9"/>
        <v>13581082</v>
      </c>
      <c r="I72" s="12">
        <f t="shared" si="9"/>
        <v>2830000</v>
      </c>
      <c r="J72" s="12">
        <f t="shared" si="9"/>
        <v>3660000</v>
      </c>
      <c r="K72" s="12">
        <f t="shared" si="9"/>
        <v>3670000</v>
      </c>
      <c r="L72" s="12">
        <f t="shared" si="9"/>
        <v>3660000</v>
      </c>
      <c r="M72" s="12">
        <f t="shared" si="9"/>
        <v>35087380.86</v>
      </c>
      <c r="N72" s="27"/>
      <c r="O72" s="17"/>
      <c r="P72" s="4"/>
    </row>
    <row r="73" spans="1:20" s="2" customFormat="1" ht="48.75" customHeight="1">
      <c r="A73" s="30" t="s">
        <v>31</v>
      </c>
      <c r="B73" s="38" t="s">
        <v>46</v>
      </c>
      <c r="C73" s="15" t="s">
        <v>10</v>
      </c>
      <c r="D73" s="11">
        <v>2013</v>
      </c>
      <c r="E73" s="11">
        <v>2016</v>
      </c>
      <c r="F73" s="12">
        <f>465000+139793+51600+41000</f>
        <v>697393</v>
      </c>
      <c r="G73" s="12">
        <f>110000+33000+21600+13000</f>
        <v>177600</v>
      </c>
      <c r="H73" s="12">
        <f>110000+25000+106793+30000+28000</f>
        <v>299793</v>
      </c>
      <c r="I73" s="12"/>
      <c r="J73" s="12"/>
      <c r="K73" s="12"/>
      <c r="L73" s="12"/>
      <c r="M73" s="12">
        <f>SUM(G73:H73)</f>
        <v>477393</v>
      </c>
      <c r="N73" s="27"/>
      <c r="O73" s="17"/>
      <c r="R73" s="4"/>
      <c r="T73" s="4"/>
    </row>
    <row r="74" spans="1:13" ht="75" customHeight="1">
      <c r="A74" s="30" t="s">
        <v>84</v>
      </c>
      <c r="B74" s="41" t="s">
        <v>47</v>
      </c>
      <c r="C74" s="15" t="s">
        <v>10</v>
      </c>
      <c r="D74" s="11">
        <v>2014</v>
      </c>
      <c r="E74" s="36">
        <v>2016</v>
      </c>
      <c r="F74" s="39">
        <f>17160000+9039314.68-155000-7997793.48-3041521.2</f>
        <v>15005000</v>
      </c>
      <c r="G74" s="39">
        <f>9000000+500000+155000-155000+3906793.48-7997793.48</f>
        <v>5409000</v>
      </c>
      <c r="H74" s="39">
        <f>7500000+9039314.68-3906793.48-3041521.2</f>
        <v>9591000</v>
      </c>
      <c r="I74" s="42"/>
      <c r="J74" s="42"/>
      <c r="K74" s="42"/>
      <c r="L74" s="42"/>
      <c r="M74" s="39">
        <f>SUM(G74:I74)</f>
        <v>15000000</v>
      </c>
    </row>
    <row r="75" spans="1:13" ht="63" customHeight="1">
      <c r="A75" s="30" t="s">
        <v>85</v>
      </c>
      <c r="B75" s="41" t="s">
        <v>64</v>
      </c>
      <c r="C75" s="15" t="s">
        <v>10</v>
      </c>
      <c r="D75" s="11">
        <v>2014</v>
      </c>
      <c r="E75" s="36">
        <v>2017</v>
      </c>
      <c r="F75" s="39">
        <f>SUM(G75:I75)</f>
        <v>1400000</v>
      </c>
      <c r="G75" s="39">
        <f>1100000-500000-600000</f>
        <v>0</v>
      </c>
      <c r="H75" s="39">
        <v>800000</v>
      </c>
      <c r="I75" s="39">
        <v>600000</v>
      </c>
      <c r="J75" s="43"/>
      <c r="K75" s="43"/>
      <c r="L75" s="43"/>
      <c r="M75" s="39">
        <f>SUM(G75:I75)</f>
        <v>1400000</v>
      </c>
    </row>
    <row r="76" spans="1:15" ht="62.25" customHeight="1">
      <c r="A76" s="30" t="s">
        <v>86</v>
      </c>
      <c r="B76" s="41" t="s">
        <v>48</v>
      </c>
      <c r="C76" s="15" t="s">
        <v>10</v>
      </c>
      <c r="D76" s="11">
        <v>2014</v>
      </c>
      <c r="E76" s="36">
        <v>2020</v>
      </c>
      <c r="F76" s="39">
        <f>SUM(G76:L76)</f>
        <v>13120000</v>
      </c>
      <c r="G76" s="39">
        <v>0</v>
      </c>
      <c r="H76" s="39">
        <v>0</v>
      </c>
      <c r="I76" s="39">
        <f>2133333.33-3333.33</f>
        <v>2130000</v>
      </c>
      <c r="J76" s="39">
        <f>4266666.66-606666.66</f>
        <v>3660000</v>
      </c>
      <c r="K76" s="39">
        <f>4266666.66-596666.66</f>
        <v>3670000</v>
      </c>
      <c r="L76" s="39">
        <v>3660000</v>
      </c>
      <c r="M76" s="39">
        <f>SUM(G76:L76)</f>
        <v>13120000</v>
      </c>
      <c r="O76" s="5">
        <f>N78+N79+N80+N81</f>
        <v>83500</v>
      </c>
    </row>
    <row r="77" spans="1:15" ht="62.25" customHeight="1">
      <c r="A77" s="30" t="s">
        <v>63</v>
      </c>
      <c r="B77" s="41" t="s">
        <v>129</v>
      </c>
      <c r="C77" s="15" t="s">
        <v>10</v>
      </c>
      <c r="D77" s="11">
        <v>2015</v>
      </c>
      <c r="E77" s="36">
        <v>2016</v>
      </c>
      <c r="F77" s="39">
        <f>SUM(G77:H77)</f>
        <v>3687300</v>
      </c>
      <c r="G77" s="39">
        <f>2036000-220000-45200-28500-10000-40000-5000</f>
        <v>1687300</v>
      </c>
      <c r="H77" s="39">
        <f>3400000-1400000</f>
        <v>2000000</v>
      </c>
      <c r="I77" s="39"/>
      <c r="J77" s="39"/>
      <c r="K77" s="39"/>
      <c r="L77" s="39"/>
      <c r="M77" s="39">
        <f>SUM(G77:H77)</f>
        <v>3687300</v>
      </c>
      <c r="N77" s="5">
        <v>2958150</v>
      </c>
      <c r="O77" s="1">
        <v>997159.29</v>
      </c>
    </row>
    <row r="78" spans="1:15" ht="101.25" customHeight="1">
      <c r="A78" s="37" t="s">
        <v>111</v>
      </c>
      <c r="B78" s="38" t="s">
        <v>87</v>
      </c>
      <c r="C78" s="15" t="s">
        <v>10</v>
      </c>
      <c r="D78" s="44">
        <v>2014</v>
      </c>
      <c r="E78" s="44">
        <v>2016</v>
      </c>
      <c r="F78" s="45">
        <f>SUM(G78:H78)</f>
        <v>501002</v>
      </c>
      <c r="G78" s="45">
        <f>470000-220000+1002</f>
        <v>251002</v>
      </c>
      <c r="H78" s="45">
        <v>250000</v>
      </c>
      <c r="I78" s="45"/>
      <c r="J78" s="45"/>
      <c r="K78" s="45"/>
      <c r="L78" s="45"/>
      <c r="M78" s="45">
        <f>SUM(G78:I78)</f>
        <v>501002</v>
      </c>
      <c r="N78" s="5">
        <v>5000</v>
      </c>
      <c r="O78" s="5">
        <f>O77+N78+N79+N80+N81</f>
        <v>1080659.29</v>
      </c>
    </row>
    <row r="79" spans="1:14" ht="134.25" customHeight="1">
      <c r="A79" s="37" t="s">
        <v>121</v>
      </c>
      <c r="B79" s="38" t="s">
        <v>158</v>
      </c>
      <c r="C79" s="15" t="s">
        <v>10</v>
      </c>
      <c r="D79" s="44">
        <v>2014</v>
      </c>
      <c r="E79" s="44">
        <v>2016</v>
      </c>
      <c r="F79" s="45">
        <f>G79</f>
        <v>80000</v>
      </c>
      <c r="G79" s="45">
        <v>80000</v>
      </c>
      <c r="H79" s="45"/>
      <c r="I79" s="45"/>
      <c r="J79" s="45"/>
      <c r="K79" s="45"/>
      <c r="L79" s="45"/>
      <c r="M79" s="45">
        <f>G79</f>
        <v>80000</v>
      </c>
      <c r="N79" s="5">
        <v>40000</v>
      </c>
    </row>
    <row r="80" spans="1:14" ht="140.25">
      <c r="A80" s="37" t="s">
        <v>123</v>
      </c>
      <c r="B80" s="50" t="s">
        <v>112</v>
      </c>
      <c r="C80" s="15" t="s">
        <v>10</v>
      </c>
      <c r="D80" s="51">
        <v>2015</v>
      </c>
      <c r="E80" s="51">
        <v>2016</v>
      </c>
      <c r="F80" s="52">
        <f>SUM(G80:H80)</f>
        <v>200000</v>
      </c>
      <c r="G80" s="52">
        <v>10000</v>
      </c>
      <c r="H80" s="52">
        <v>190000</v>
      </c>
      <c r="I80" s="52"/>
      <c r="J80" s="52"/>
      <c r="K80" s="52"/>
      <c r="L80" s="52"/>
      <c r="M80" s="52">
        <f>SUM(G80:L80)</f>
        <v>200000</v>
      </c>
      <c r="N80" s="5">
        <v>28500</v>
      </c>
    </row>
    <row r="81" spans="1:14" ht="102">
      <c r="A81" s="37" t="s">
        <v>128</v>
      </c>
      <c r="B81" s="41" t="s">
        <v>120</v>
      </c>
      <c r="C81" s="15" t="s">
        <v>10</v>
      </c>
      <c r="D81" s="51">
        <v>2014</v>
      </c>
      <c r="E81" s="51">
        <v>2016</v>
      </c>
      <c r="F81" s="52">
        <v>60000</v>
      </c>
      <c r="G81" s="52">
        <v>1500</v>
      </c>
      <c r="H81" s="52">
        <v>41500</v>
      </c>
      <c r="I81" s="52"/>
      <c r="J81" s="52"/>
      <c r="K81" s="52"/>
      <c r="L81" s="52"/>
      <c r="M81" s="52">
        <f>SUM(G81:L81)</f>
        <v>43000</v>
      </c>
      <c r="N81" s="5">
        <v>10000</v>
      </c>
    </row>
    <row r="82" spans="1:14" ht="114.75">
      <c r="A82" s="37" t="s">
        <v>131</v>
      </c>
      <c r="B82" s="53" t="s">
        <v>122</v>
      </c>
      <c r="C82" s="15" t="s">
        <v>10</v>
      </c>
      <c r="D82" s="51">
        <v>2014</v>
      </c>
      <c r="E82" s="51">
        <v>2016</v>
      </c>
      <c r="F82" s="52">
        <v>1093893.9</v>
      </c>
      <c r="G82" s="52">
        <v>854000</v>
      </c>
      <c r="H82" s="52">
        <v>26000</v>
      </c>
      <c r="I82" s="52"/>
      <c r="J82" s="52"/>
      <c r="K82" s="52"/>
      <c r="L82" s="52"/>
      <c r="M82" s="52">
        <v>79085.86</v>
      </c>
      <c r="N82" s="5">
        <f>SUM(N77:N81)</f>
        <v>3041650</v>
      </c>
    </row>
    <row r="83" spans="1:13" ht="113.25" customHeight="1">
      <c r="A83" s="37" t="s">
        <v>134</v>
      </c>
      <c r="B83" s="50" t="s">
        <v>132</v>
      </c>
      <c r="C83" s="15" t="s">
        <v>10</v>
      </c>
      <c r="D83" s="51">
        <v>2015</v>
      </c>
      <c r="E83" s="51">
        <v>2016</v>
      </c>
      <c r="F83" s="52">
        <f>SUM(G83:H83)</f>
        <v>30000</v>
      </c>
      <c r="G83" s="52">
        <f>30000-30000</f>
        <v>0</v>
      </c>
      <c r="H83" s="52">
        <v>30000</v>
      </c>
      <c r="I83" s="52"/>
      <c r="J83" s="52"/>
      <c r="K83" s="52"/>
      <c r="L83" s="52"/>
      <c r="M83" s="52">
        <f>SUM(G83:I83)</f>
        <v>30000</v>
      </c>
    </row>
    <row r="84" spans="1:13" ht="153">
      <c r="A84" s="37" t="s">
        <v>138</v>
      </c>
      <c r="B84" s="50" t="s">
        <v>135</v>
      </c>
      <c r="C84" s="15" t="s">
        <v>10</v>
      </c>
      <c r="D84" s="51">
        <v>2015</v>
      </c>
      <c r="E84" s="51">
        <v>2017</v>
      </c>
      <c r="F84" s="52">
        <f>SUM(G84:I84)</f>
        <v>150000</v>
      </c>
      <c r="G84" s="52">
        <v>0</v>
      </c>
      <c r="H84" s="52">
        <v>50000</v>
      </c>
      <c r="I84" s="52">
        <v>100000</v>
      </c>
      <c r="J84" s="51"/>
      <c r="K84" s="51"/>
      <c r="L84" s="51"/>
      <c r="M84" s="52">
        <f>SUM(G84:J84)</f>
        <v>150000</v>
      </c>
    </row>
    <row r="85" spans="1:13" s="58" customFormat="1" ht="162" customHeight="1">
      <c r="A85" s="37" t="s">
        <v>151</v>
      </c>
      <c r="B85" s="50" t="s">
        <v>139</v>
      </c>
      <c r="C85" s="15" t="s">
        <v>10</v>
      </c>
      <c r="D85" s="51">
        <v>2015</v>
      </c>
      <c r="E85" s="51">
        <v>2016</v>
      </c>
      <c r="F85" s="52">
        <f>SUM(G85:H85)</f>
        <v>19600</v>
      </c>
      <c r="G85" s="52">
        <v>0</v>
      </c>
      <c r="H85" s="52">
        <v>19600</v>
      </c>
      <c r="I85" s="52"/>
      <c r="J85" s="51"/>
      <c r="K85" s="51"/>
      <c r="L85" s="51"/>
      <c r="M85" s="52">
        <f>SUM(G85:I85)</f>
        <v>19600</v>
      </c>
    </row>
    <row r="86" spans="1:13" ht="53.25" customHeight="1">
      <c r="A86" s="59" t="s">
        <v>159</v>
      </c>
      <c r="B86" s="60" t="s">
        <v>152</v>
      </c>
      <c r="C86" s="61" t="s">
        <v>10</v>
      </c>
      <c r="D86" s="62">
        <v>2015</v>
      </c>
      <c r="E86" s="62">
        <v>2016</v>
      </c>
      <c r="F86" s="63">
        <f>SUM(G86:H86)</f>
        <v>100000</v>
      </c>
      <c r="G86" s="63">
        <v>7011</v>
      </c>
      <c r="H86" s="63">
        <v>92989</v>
      </c>
      <c r="I86" s="63"/>
      <c r="J86" s="62"/>
      <c r="K86" s="63"/>
      <c r="L86" s="63"/>
      <c r="M86" s="63">
        <f>SUM(G86:H86)</f>
        <v>100000</v>
      </c>
    </row>
    <row r="87" spans="1:13" ht="91.5" customHeight="1">
      <c r="A87" s="37" t="s">
        <v>163</v>
      </c>
      <c r="B87" s="53" t="s">
        <v>164</v>
      </c>
      <c r="C87" s="61" t="s">
        <v>10</v>
      </c>
      <c r="D87" s="51">
        <v>2015</v>
      </c>
      <c r="E87" s="51">
        <v>2016</v>
      </c>
      <c r="F87" s="52">
        <f>SUM(G87:H87)</f>
        <v>200000</v>
      </c>
      <c r="G87" s="52">
        <v>9800</v>
      </c>
      <c r="H87" s="52">
        <v>190200</v>
      </c>
      <c r="I87" s="52"/>
      <c r="J87" s="52"/>
      <c r="K87" s="52"/>
      <c r="L87" s="52"/>
      <c r="M87" s="52">
        <f>SUM(G87:L87)</f>
        <v>200000</v>
      </c>
    </row>
    <row r="88" spans="2:13" ht="13.5">
      <c r="B88" s="64"/>
      <c r="C88" s="14"/>
      <c r="D88" s="64"/>
      <c r="E88" s="64"/>
      <c r="F88" s="65"/>
      <c r="G88" s="16"/>
      <c r="H88" s="65"/>
      <c r="I88" s="65"/>
      <c r="J88" s="65"/>
      <c r="K88" s="65"/>
      <c r="L88" s="65"/>
      <c r="M88" s="65"/>
    </row>
    <row r="89" spans="6:13" ht="12.75">
      <c r="F89" s="5"/>
      <c r="G89" s="4"/>
      <c r="H89" s="5"/>
      <c r="I89" s="5"/>
      <c r="J89" s="5"/>
      <c r="K89" s="5"/>
      <c r="L89" s="5"/>
      <c r="M89" s="5"/>
    </row>
    <row r="90" spans="6:14" ht="12.75">
      <c r="F90" s="5"/>
      <c r="G90" s="4"/>
      <c r="H90" s="5"/>
      <c r="I90" s="5"/>
      <c r="J90" s="5"/>
      <c r="K90" s="5"/>
      <c r="L90" s="5"/>
      <c r="M90" s="5"/>
      <c r="N90" s="5"/>
    </row>
    <row r="91" spans="6:13" ht="12.75">
      <c r="F91" s="5"/>
      <c r="G91" s="4"/>
      <c r="H91" s="5"/>
      <c r="I91" s="5"/>
      <c r="J91" s="5"/>
      <c r="K91" s="5"/>
      <c r="L91" s="5"/>
      <c r="M91" s="5"/>
    </row>
    <row r="92" spans="6:14" ht="12.75">
      <c r="F92" s="5"/>
      <c r="G92" s="4"/>
      <c r="H92" s="5"/>
      <c r="I92" s="5"/>
      <c r="J92" s="5"/>
      <c r="K92" s="5"/>
      <c r="L92" s="5"/>
      <c r="M92" s="5"/>
      <c r="N92" s="5"/>
    </row>
    <row r="93" spans="6:13" ht="12.75">
      <c r="F93" s="5"/>
      <c r="G93" s="57"/>
      <c r="H93" s="33"/>
      <c r="I93" s="33"/>
      <c r="J93" s="5"/>
      <c r="K93" s="5"/>
      <c r="L93" s="5"/>
      <c r="M93" s="5"/>
    </row>
    <row r="94" spans="6:14" ht="12.75">
      <c r="F94" s="5"/>
      <c r="G94" s="4"/>
      <c r="H94" s="5"/>
      <c r="I94" s="5"/>
      <c r="J94" s="5"/>
      <c r="K94" s="5"/>
      <c r="L94" s="5"/>
      <c r="M94" s="5"/>
      <c r="N94" s="5"/>
    </row>
    <row r="95" spans="6:14" ht="12.75">
      <c r="F95" s="33"/>
      <c r="G95" s="57"/>
      <c r="H95" s="33"/>
      <c r="I95" s="33"/>
      <c r="J95" s="33"/>
      <c r="K95" s="33"/>
      <c r="L95" s="33"/>
      <c r="M95" s="33"/>
      <c r="N95" s="5"/>
    </row>
    <row r="96" spans="6:14" ht="12.75">
      <c r="F96" s="5"/>
      <c r="G96" s="4"/>
      <c r="H96" s="5"/>
      <c r="I96" s="5"/>
      <c r="J96" s="5"/>
      <c r="K96" s="5"/>
      <c r="L96" s="5"/>
      <c r="M96" s="5"/>
      <c r="N96" s="5"/>
    </row>
    <row r="97" spans="6:14" ht="12.75">
      <c r="F97" s="33"/>
      <c r="G97" s="57"/>
      <c r="H97" s="33"/>
      <c r="I97" s="33"/>
      <c r="J97" s="33"/>
      <c r="K97" s="33"/>
      <c r="L97" s="33"/>
      <c r="M97" s="33"/>
      <c r="N97" s="5"/>
    </row>
    <row r="98" spans="6:14" ht="12.75">
      <c r="F98" s="46"/>
      <c r="N98" s="5"/>
    </row>
    <row r="99" ht="12.75">
      <c r="F99" s="5"/>
    </row>
    <row r="100" spans="6:7" ht="12.75">
      <c r="F100" s="5"/>
      <c r="G100" s="56"/>
    </row>
    <row r="101" spans="6:14" ht="12.75">
      <c r="F101" s="5"/>
      <c r="N101" s="5"/>
    </row>
    <row r="102" ht="12.75">
      <c r="F102" s="5"/>
    </row>
    <row r="103" spans="6:7" ht="12.75">
      <c r="F103" s="5"/>
      <c r="G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H110" s="5"/>
    </row>
    <row r="113" ht="12.75">
      <c r="H113" s="5"/>
    </row>
    <row r="115" ht="12.75">
      <c r="H115" s="5"/>
    </row>
    <row r="118" ht="12.75">
      <c r="H118" s="5"/>
    </row>
    <row r="122" ht="12.75">
      <c r="H122" s="5"/>
    </row>
    <row r="144" ht="12.75">
      <c r="A144" s="26"/>
    </row>
    <row r="145" ht="12.75">
      <c r="A145" s="26"/>
    </row>
    <row r="146" ht="12.75">
      <c r="A146" s="26"/>
    </row>
    <row r="147" ht="12.75">
      <c r="A147" s="26"/>
    </row>
    <row r="148" ht="12.75">
      <c r="A148" s="26"/>
    </row>
    <row r="149" ht="12.75">
      <c r="A149" s="26"/>
    </row>
    <row r="150" ht="12.75">
      <c r="A150" s="26"/>
    </row>
    <row r="151" ht="12.75">
      <c r="A151" s="26"/>
    </row>
    <row r="152" ht="12.75">
      <c r="A152" s="26"/>
    </row>
    <row r="153" ht="12.75">
      <c r="A153" s="26"/>
    </row>
    <row r="154" ht="12.75">
      <c r="A154" s="26"/>
    </row>
    <row r="155" ht="12.75">
      <c r="A155" s="26"/>
    </row>
    <row r="156" ht="12.75">
      <c r="A156" s="26"/>
    </row>
    <row r="157" ht="12.75">
      <c r="A157" s="26"/>
    </row>
    <row r="158" ht="12.75">
      <c r="A158" s="26"/>
    </row>
    <row r="159" ht="12.75">
      <c r="A159" s="26"/>
    </row>
    <row r="160" ht="12.75">
      <c r="A160" s="26"/>
    </row>
    <row r="161" ht="12.75">
      <c r="A161" s="26"/>
    </row>
    <row r="162" ht="12.75">
      <c r="A162" s="26"/>
    </row>
    <row r="163" ht="12.75">
      <c r="A163" s="26"/>
    </row>
    <row r="164" ht="12.75">
      <c r="A164" s="26"/>
    </row>
    <row r="165" ht="12.75">
      <c r="A165" s="26"/>
    </row>
    <row r="166" ht="12.75">
      <c r="A166" s="26"/>
    </row>
    <row r="167" ht="12.75">
      <c r="A167" s="26"/>
    </row>
    <row r="168" ht="12.75">
      <c r="A168" s="26"/>
    </row>
    <row r="169" ht="12.75">
      <c r="A169" s="26"/>
    </row>
    <row r="170" ht="12.75">
      <c r="A170" s="26"/>
    </row>
    <row r="171" ht="12.75">
      <c r="A171" s="26"/>
    </row>
    <row r="172" ht="12.75">
      <c r="A172" s="26"/>
    </row>
    <row r="173" ht="12.75">
      <c r="A173" s="26"/>
    </row>
    <row r="174" ht="12.75">
      <c r="A174" s="26"/>
    </row>
    <row r="175" ht="12.75">
      <c r="A175" s="26"/>
    </row>
    <row r="176" ht="12.75">
      <c r="A176" s="26"/>
    </row>
    <row r="177" ht="12.75">
      <c r="A177" s="26"/>
    </row>
    <row r="178" ht="12.75">
      <c r="A178" s="26"/>
    </row>
    <row r="179" ht="12.75">
      <c r="A179" s="26"/>
    </row>
    <row r="180" ht="12.75">
      <c r="A180" s="26"/>
    </row>
    <row r="181" ht="12.75">
      <c r="A181" s="26"/>
    </row>
    <row r="182" ht="12.75">
      <c r="A182" s="26"/>
    </row>
    <row r="183" ht="12.75">
      <c r="A183" s="26"/>
    </row>
    <row r="184" ht="12.75">
      <c r="A184" s="26"/>
    </row>
    <row r="185" ht="12.75">
      <c r="A185" s="26"/>
    </row>
    <row r="186" ht="12.75">
      <c r="A186" s="26"/>
    </row>
    <row r="187" ht="12.75">
      <c r="A187" s="26"/>
    </row>
    <row r="188" ht="12.75">
      <c r="A188" s="26"/>
    </row>
    <row r="189" ht="12.75">
      <c r="A189" s="26"/>
    </row>
    <row r="190" ht="12.75">
      <c r="A190" s="26"/>
    </row>
    <row r="191" ht="12.75">
      <c r="A191" s="26"/>
    </row>
    <row r="192" ht="12.75">
      <c r="A192" s="26"/>
    </row>
    <row r="193" ht="12.75">
      <c r="A193" s="26"/>
    </row>
    <row r="194" ht="12.75">
      <c r="A194" s="26"/>
    </row>
    <row r="195" ht="12.75">
      <c r="A195" s="26"/>
    </row>
    <row r="196" ht="12.75">
      <c r="A196" s="26"/>
    </row>
    <row r="197" ht="12.75">
      <c r="A197" s="26"/>
    </row>
    <row r="198" ht="12.75">
      <c r="A198" s="26"/>
    </row>
    <row r="199" ht="12.75">
      <c r="A199" s="26"/>
    </row>
    <row r="200" ht="12.75">
      <c r="A200" s="26"/>
    </row>
    <row r="201" ht="12.75">
      <c r="A201" s="26"/>
    </row>
    <row r="202" ht="12.75">
      <c r="A202" s="26"/>
    </row>
    <row r="203" ht="12.75">
      <c r="A203" s="26"/>
    </row>
    <row r="204" ht="12.75">
      <c r="A204" s="26"/>
    </row>
    <row r="205" ht="12.75">
      <c r="A205" s="26"/>
    </row>
    <row r="206" ht="12.75">
      <c r="A206" s="26"/>
    </row>
    <row r="207" ht="12.75">
      <c r="A207" s="26"/>
    </row>
    <row r="208" ht="12.75">
      <c r="A208" s="26"/>
    </row>
    <row r="209" ht="12.75">
      <c r="A209" s="26"/>
    </row>
    <row r="210" ht="12.75">
      <c r="A210" s="26"/>
    </row>
    <row r="211" ht="12.75">
      <c r="A211" s="26"/>
    </row>
    <row r="212" ht="12.75">
      <c r="A212" s="26"/>
    </row>
    <row r="213" ht="12.75">
      <c r="A213" s="26"/>
    </row>
    <row r="214" ht="12.75">
      <c r="A214" s="26"/>
    </row>
    <row r="215" ht="12.75">
      <c r="A215" s="26"/>
    </row>
    <row r="216" ht="12.75">
      <c r="A216" s="26"/>
    </row>
    <row r="217" ht="12.75">
      <c r="A217" s="26"/>
    </row>
    <row r="218" ht="12.75">
      <c r="A218" s="26"/>
    </row>
    <row r="219" ht="12.75">
      <c r="A219" s="26"/>
    </row>
    <row r="220" ht="12.75">
      <c r="A220" s="26"/>
    </row>
    <row r="221" ht="12.75">
      <c r="A221" s="26"/>
    </row>
    <row r="222" ht="12.75">
      <c r="A222" s="26"/>
    </row>
    <row r="223" ht="12.75">
      <c r="A223" s="26"/>
    </row>
    <row r="224" ht="12.75">
      <c r="A224" s="26"/>
    </row>
    <row r="225" ht="12.75">
      <c r="A225" s="26"/>
    </row>
    <row r="226" ht="12.75">
      <c r="A226" s="26"/>
    </row>
    <row r="227" ht="12.75">
      <c r="A227" s="26"/>
    </row>
    <row r="228" ht="12.75">
      <c r="A228" s="26"/>
    </row>
    <row r="229" ht="12.75">
      <c r="A229" s="26"/>
    </row>
    <row r="230" ht="12.75">
      <c r="A230" s="26"/>
    </row>
    <row r="273" ht="12.75">
      <c r="A273" s="26"/>
    </row>
    <row r="274" ht="12.75">
      <c r="A274" s="26"/>
    </row>
    <row r="275" ht="12.75">
      <c r="A275" s="26"/>
    </row>
    <row r="276" ht="12.75">
      <c r="A276" s="26"/>
    </row>
    <row r="277" ht="12.75">
      <c r="A277" s="26"/>
    </row>
    <row r="278" ht="12.75">
      <c r="A278" s="26"/>
    </row>
    <row r="279" ht="12.75">
      <c r="A279" s="26"/>
    </row>
    <row r="280" ht="12.75">
      <c r="A280" s="26"/>
    </row>
    <row r="281" ht="12.75">
      <c r="A281" s="26"/>
    </row>
    <row r="282" ht="12.75">
      <c r="A282" s="26"/>
    </row>
    <row r="283" ht="12.75">
      <c r="A283" s="26"/>
    </row>
    <row r="284" ht="12.75">
      <c r="A284" s="26"/>
    </row>
    <row r="285" ht="12.75">
      <c r="A285" s="26"/>
    </row>
    <row r="286" ht="12.75">
      <c r="A286" s="26"/>
    </row>
    <row r="287" ht="12.75">
      <c r="A287" s="26"/>
    </row>
    <row r="288" ht="12.75">
      <c r="A288" s="26"/>
    </row>
    <row r="289" ht="12.75">
      <c r="A289" s="26"/>
    </row>
    <row r="290" ht="12.75">
      <c r="A290" s="26"/>
    </row>
    <row r="291" ht="12.75">
      <c r="A291" s="26"/>
    </row>
    <row r="292" ht="12.75">
      <c r="A292" s="26"/>
    </row>
    <row r="293" ht="12.75">
      <c r="A293" s="26"/>
    </row>
    <row r="294" ht="12.75">
      <c r="A294" s="26"/>
    </row>
    <row r="295" ht="12.75">
      <c r="A295" s="26"/>
    </row>
    <row r="296" ht="12.75">
      <c r="A296" s="26"/>
    </row>
    <row r="297" ht="12.75">
      <c r="A297" s="26"/>
    </row>
    <row r="298" ht="12.75">
      <c r="A298" s="26"/>
    </row>
    <row r="299" ht="12.75">
      <c r="A299" s="26"/>
    </row>
    <row r="300" ht="12.75">
      <c r="A300" s="26"/>
    </row>
    <row r="301" ht="12.75">
      <c r="A301" s="26"/>
    </row>
    <row r="302" ht="12.75">
      <c r="A302" s="26"/>
    </row>
    <row r="303" ht="12.75">
      <c r="A303" s="26"/>
    </row>
    <row r="304" ht="12.75">
      <c r="A304" s="26"/>
    </row>
    <row r="305" ht="12.75">
      <c r="A305" s="26"/>
    </row>
    <row r="306" ht="12.75">
      <c r="A306" s="26"/>
    </row>
    <row r="307" ht="12.75">
      <c r="A307" s="26"/>
    </row>
    <row r="308" ht="12.75">
      <c r="A308" s="26"/>
    </row>
    <row r="309" ht="12.75">
      <c r="A309" s="26"/>
    </row>
    <row r="310" ht="12.75">
      <c r="A310" s="26"/>
    </row>
    <row r="311" ht="12.75">
      <c r="A311" s="26"/>
    </row>
    <row r="312" ht="12.75">
      <c r="A312" s="26"/>
    </row>
    <row r="313" ht="12.75">
      <c r="A313" s="26"/>
    </row>
    <row r="314" ht="12.75">
      <c r="A314" s="26"/>
    </row>
    <row r="315" ht="12.75">
      <c r="A315" s="26"/>
    </row>
    <row r="316" ht="12.75">
      <c r="A316" s="26"/>
    </row>
  </sheetData>
  <sheetProtection/>
  <mergeCells count="20">
    <mergeCell ref="G8:L8"/>
    <mergeCell ref="B26:E26"/>
    <mergeCell ref="B31:E31"/>
    <mergeCell ref="M8:M10"/>
    <mergeCell ref="G9:I9"/>
    <mergeCell ref="B27:E27"/>
    <mergeCell ref="B28:E28"/>
    <mergeCell ref="B29:E29"/>
    <mergeCell ref="B30:E30"/>
    <mergeCell ref="B16:E16"/>
    <mergeCell ref="B15:E15"/>
    <mergeCell ref="B13:E13"/>
    <mergeCell ref="B14:E14"/>
    <mergeCell ref="F8:F10"/>
    <mergeCell ref="B12:E12"/>
    <mergeCell ref="A8:A10"/>
    <mergeCell ref="B8:B10"/>
    <mergeCell ref="C8:C10"/>
    <mergeCell ref="D8:E8"/>
    <mergeCell ref="D9:E9"/>
  </mergeCells>
  <hyperlinks>
    <hyperlink ref="M8" r:id="rId1" display="_ftn1"/>
  </hyperlinks>
  <printOptions/>
  <pageMargins left="0.1968503937007874" right="0.1968503937007874" top="0.4330708661417323" bottom="0.31496062992125984" header="0.5118110236220472" footer="0.03937007874015748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Bożena Pałasz</cp:lastModifiedBy>
  <cp:lastPrinted>2015-12-07T11:46:59Z</cp:lastPrinted>
  <dcterms:created xsi:type="dcterms:W3CDTF">2010-09-24T07:39:40Z</dcterms:created>
  <dcterms:modified xsi:type="dcterms:W3CDTF">2015-12-08T08:15:43Z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