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465" windowHeight="6510" tabRatio="734" activeTab="0"/>
  </bookViews>
  <sheets>
    <sheet name="Załącznik nr 1" sheetId="1" r:id="rId1"/>
    <sheet name="Załącznik  nr 2" sheetId="2" r:id="rId2"/>
    <sheet name="Załącznik nr 3" sheetId="3" r:id="rId3"/>
    <sheet name="Załącznik nr 4" sheetId="4" r:id="rId4"/>
    <sheet name="Załącznik nr 5" sheetId="5" r:id="rId5"/>
    <sheet name="Załącznik  nr  6" sheetId="6" r:id="rId6"/>
    <sheet name="Załącznik nr 7" sheetId="7" r:id="rId7"/>
    <sheet name="Załącznik nr 8" sheetId="8" r:id="rId8"/>
    <sheet name="Załącznik nr 9" sheetId="9" r:id="rId9"/>
    <sheet name="Załącznik nr 10" sheetId="10" r:id="rId10"/>
    <sheet name="Załącznik nr 11" sheetId="11" r:id="rId11"/>
    <sheet name="Załącznik nr 12" sheetId="12" r:id="rId12"/>
    <sheet name="Arkusz4" sheetId="13" r:id="rId13"/>
    <sheet name="Wolny" sheetId="14" r:id="rId14"/>
  </sheets>
  <definedNames>
    <definedName name="_xlnm.Print_Titles" localSheetId="5">'Załącznik  nr  6'!$12:$13</definedName>
    <definedName name="_xlnm.Print_Titles" localSheetId="1">'Załącznik  nr 2'!$11:$13</definedName>
    <definedName name="_xlnm.Print_Titles" localSheetId="0">'Załącznik nr 1'!$10:$12</definedName>
    <definedName name="_xlnm.Print_Titles" localSheetId="9">'Załącznik nr 10'!$11:$11</definedName>
    <definedName name="_xlnm.Print_Titles" localSheetId="10">'Załącznik nr 11'!$10:$10</definedName>
    <definedName name="_xlnm.Print_Titles" localSheetId="2">'Załącznik nr 3'!$12:$14</definedName>
    <definedName name="_xlnm.Print_Titles" localSheetId="3">'Załącznik nr 4'!$12:$13</definedName>
    <definedName name="_xlnm.Print_Titles" localSheetId="4">'Załącznik nr 5'!$12:$12</definedName>
  </definedNames>
  <calcPr fullCalcOnLoad="1"/>
</workbook>
</file>

<file path=xl/sharedStrings.xml><?xml version="1.0" encoding="utf-8"?>
<sst xmlns="http://schemas.openxmlformats.org/spreadsheetml/2006/main" count="2605" uniqueCount="699">
  <si>
    <t>prace konserwatorsko-restauratorskie krucyfiksu w kruchcie - Parafia pw Św. Andrzeja Apostoła w Koninie   rozdz.92120</t>
  </si>
  <si>
    <t>remont rzeźby "Chrystus na krzyżu" Parafia pw. Św. Andrzeja Apostoła w Koninie - Gosłwaicach  rozdz.92120</t>
  </si>
  <si>
    <t>prace konserwatorsko-restauratorskie dwóch ołtarzy i ambony w transepcie kościoła pw. Św. Wojciecha w Koninie  rozdz.92120</t>
  </si>
  <si>
    <t>organizacja imprez kulturalnych dla mieszkańców m. Konina  rozdz.92195</t>
  </si>
  <si>
    <t>organizacja koncertów z cyklu Muzyka w Ratuszu - Prezydent Zaprasza   rozdz.92195</t>
  </si>
  <si>
    <t>organizacja imprez sportowo-rekreacyjnych dla mieszkańców Konina  rozdz.92695</t>
  </si>
  <si>
    <t>organizacja imprez sportowych dla osób niepełnosprawnych   rozdz.92695</t>
  </si>
  <si>
    <t>szkolenie uzdolnionych sportowo w wybranych dyscyplinach sportowych  rozdz.92695</t>
  </si>
  <si>
    <t>prowadzenie warsztatów terapii zajęciowej, rehabilitacja zawodowa i społeczna  rozdz.85311</t>
  </si>
  <si>
    <t>dotacja dla niepublicznego specjalnego ośrodka szkolno-wychowawczego rozdz. 85403</t>
  </si>
  <si>
    <t>udzielanie informacji turystycznej o mieście Koninie  rozdz.63001</t>
  </si>
  <si>
    <t>organizacja imprez turystycznych dla mieszkańców Konina  rozdz.63095</t>
  </si>
  <si>
    <t>prowadzenie punktu nieodpłatnych porad prawnych  rozdz.75595</t>
  </si>
  <si>
    <t>prowadzenie placówki opiekuńczo - wychowawczej typu rodzinnego -  Rodzinny Dom Dziecka   rozdz.85201</t>
  </si>
  <si>
    <t>na realizację programów korekcyjno-edukacyjnych dla sprawców przemocy w rodzinie  rozdz.85205</t>
  </si>
  <si>
    <t>działalność na rzecz rozwoju gospodarczego wspierającego lokalny rynek pracy  rozdz.85395</t>
  </si>
  <si>
    <t>ZAŁĄCZNIK nr 8</t>
  </si>
  <si>
    <t xml:space="preserve">PROJEKT PLANU DOTACJI I WYDATKÓW ZADAŃ REALIZOWANYCH NA PODSTAWIE </t>
  </si>
  <si>
    <t xml:space="preserve">POROZUMIEŃ MIĘDZY JEDNOSTKAMI SAMORZĄDU TERYTORIALNEGO </t>
  </si>
  <si>
    <t>ZADAŃ Z ZAKRESU ADMINISTRACJI RZĄDOWEJ NA 2016 ROK</t>
  </si>
  <si>
    <t>Przewidywane wykonanie planu dotacji w 2015 roku</t>
  </si>
  <si>
    <t>Projekt planu dotacji na 2016 rok</t>
  </si>
  <si>
    <t>Przewidywane wykonanie planu wydatków w 2015 roku</t>
  </si>
  <si>
    <t>Projekt planu wydatków na 2016 rok</t>
  </si>
  <si>
    <t>Pozostałe zadania   w zakresie polityki społecznej</t>
  </si>
  <si>
    <t xml:space="preserve">      OGÓŁEM </t>
  </si>
  <si>
    <t>ZAŁĄCZNIK nr 7</t>
  </si>
  <si>
    <t>PROJEKT PLANU DOTACJI I WYDATKÓW ZADAŃ REALIZOWANYCH NA PODSTAWIE</t>
  </si>
  <si>
    <t>POROZUMIEŃ Z ORGANAMI ADMINISTRACJI RZĄDOWEJ NA 2016 ROK</t>
  </si>
  <si>
    <t>Razem zadania powiatu</t>
  </si>
  <si>
    <t>ZAŁĄCZNIK nr 6</t>
  </si>
  <si>
    <t xml:space="preserve">PROJEKT PLANU DOCHODÓW ZWIĄZANYCH Z REALIZACJĄ ZADAŃ Z ZAKRESU </t>
  </si>
  <si>
    <t xml:space="preserve">ADMINISTRACJI RZĄDOWEJ ORAZ INNYCH ZADAŃ ZLECONYCH USTAWAMI, </t>
  </si>
  <si>
    <t>KTÓRE PODLEGAJĄ  PRZEKAZANIU DO BUDŻETU PAŃSTWA NA 2016 ROK</t>
  </si>
  <si>
    <t>Plan dochodów na 2016 rok</t>
  </si>
  <si>
    <t>Planowana kwota dochodów zadań z zakresu administracji rządowej, która podlega przekazaniu do budżetu państwa na 2016 rok</t>
  </si>
  <si>
    <t>Planowana kwota dochodów zadań z zakresu administracji rządowej, która stanowi dochód jednostki samorządu terytorialnego na 2016 rok</t>
  </si>
  <si>
    <t>Świadczenia rodzinne, świadczenia z funduszu alimentacyjnego oraz składki na ubezpieczenia emerytalne i rentowe z ubezpieczenia społecznego</t>
  </si>
  <si>
    <t>O980</t>
  </si>
  <si>
    <t>Wpływy z tytułu zwrotów wypłaconych świadczeń z funduszu alimentacyjnego</t>
  </si>
  <si>
    <t>O550</t>
  </si>
  <si>
    <t>ZAŁĄCZNIK nr 5</t>
  </si>
  <si>
    <t>NA 2016 ROK - ZADANIA WŁASNE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</si>
  <si>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</si>
  <si>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porozumień, (umów)  między jednostkami samorządu terytorialnego</t>
  </si>
  <si>
    <t xml:space="preserve">PROJEKT PLANU DOTACJI DLA PODMIOTÓW ZALICZANYCH DO SEKTORA </t>
  </si>
  <si>
    <t>dotacja dla niepublicznego przedszkola specjalnego rozdz. 80105</t>
  </si>
  <si>
    <t>ze środków budżetowych miasta Konina na 2016 rok</t>
  </si>
  <si>
    <t>Lp</t>
  </si>
  <si>
    <t>Nazwa  zadania</t>
  </si>
  <si>
    <t>środki  w ramach ustawy Prawo ochrony środowiska</t>
  </si>
  <si>
    <t>Drogi publiczne gminne</t>
  </si>
  <si>
    <t xml:space="preserve">Opracowanie  dokumentacji projektowo-kosztorysowej na przebudowę ul. Beznazwy i Wilczej w Koninie </t>
  </si>
  <si>
    <t>Nabycie nieruchomości gruntowych</t>
  </si>
  <si>
    <t>Rozbudowa miejskiej sieci szerokopasmowej KoMAN</t>
  </si>
  <si>
    <t>Wykonanie klimatyzacji w budynku przy ul. Wojska Polskiego</t>
  </si>
  <si>
    <t>Doposażenie techniczne urzędu</t>
  </si>
  <si>
    <t>Ochotnicze Straże Pożarne</t>
  </si>
  <si>
    <t>Sprzęt ratowniczy dla konińskich strażaków z OSP Konin - Gosławice (KBO)</t>
  </si>
  <si>
    <t>Dotacja celowa na zakup ciężkiego samochodu strażackiego dla OSP Konin - Chorzeń</t>
  </si>
  <si>
    <t>Obrona cywilna</t>
  </si>
  <si>
    <t xml:space="preserve">Zakup i montaż 1 elektronicznej syreny alarmowej tubowej wraz z osprzętem </t>
  </si>
  <si>
    <t>Adaptacja budynku na magazyn przeciwpowodziowy i strażnicę OSP w Koninie - Chorzeń</t>
  </si>
  <si>
    <t>Modernizacja promu linowego</t>
  </si>
  <si>
    <t>Rezerwa celowa na inwestycje i zakupy inwestycyjne</t>
  </si>
  <si>
    <t>Budowa boiska do plażówki (SP Nr 3) (KBO)</t>
  </si>
  <si>
    <t>Budowa bulodromu "Konińska petanka" (SP Nr 3) (KBO)</t>
  </si>
  <si>
    <t>Remont i renowacja boisk sportowych przy Szkole Podstawowej Nr 8 w Koninie z Oddziałami Integracyjnymi (KBO)</t>
  </si>
  <si>
    <t>Zadanie - Kort tenisowy - wymalowanie linii wymiarowego kortu tenisowego i zamontowanie w nawierzchni poliuretanowej tulei w których osadzone byłyby słupki i siatka do tenisa ziemnego (Gimnazjum Nr 2) (KBO)</t>
  </si>
  <si>
    <t>Program Wspierania Przedsiębiorczości w Koninie na lata 2014-2016</t>
  </si>
  <si>
    <t xml:space="preserve">Usuwanie wyrobów zawierających azbest z nieruchomości położonych na terenie miasta Konina </t>
  </si>
  <si>
    <t>Wniesienie wkładu pieniężnego do PWIK Sp. zo.o. na budowę sieci wodociągowej w ulicy Ignacego Domeyki - os. Laskówiec w Koninie</t>
  </si>
  <si>
    <t>Wniesienie wkładu pieniężnego do PWIK Sp. zo.o. na budowę kanalizacji sanitarnej i wodociągu w rejonie ul. Gajowej w Koninie - I etap</t>
  </si>
  <si>
    <t>Wniesienie wkładu pieniężnego do PWIK Sp. zo.o. na opracowanie dokumentacji projektowej na budowę kanalizacji sanitarnej w ulicy Osada w Koninie</t>
  </si>
  <si>
    <t>Wniesienie wkładu pieniężnego do PWiK Sp. zo.o. na budowę sieci wodociągowej i kanalizacji sanitarnej w ul. Brzozowej os. Wilków w Koninie</t>
  </si>
  <si>
    <t>Wniesienie wkładu pieniężnego do PWiK Sp. zo.o.  na budowę kanalizacji sanitarnej w ul. Topolowej w Koninie</t>
  </si>
  <si>
    <t xml:space="preserve">Wniesienie wkładu pieniężnego do PWiK Sp. zo.o.  na budowę sieci wodociągowej w ulicy Przydziałki w Koninie  </t>
  </si>
  <si>
    <t>Wniesienie wkładu pieniężnego do PWiK Sp. zo.o. na budowę sieci wodociągowej w ul. Krańcowej - os. Łężyn w Koninie</t>
  </si>
  <si>
    <t>Wniesienie wkładu pieniężnego do PWiK Sp. zo.o. na budowę sieci wodociągowej i kanalizacji sanitarnej  w ulicy Józefa Piłsudskiego w Koninie</t>
  </si>
  <si>
    <t>Budowa toalety przy ul. Szpitalnej 60 w Koninie</t>
  </si>
  <si>
    <t>Wybieg dla psów Konin osiedle Zatorze  (KBO)</t>
  </si>
  <si>
    <t>Mini Plac zabaw dla dzieci ul. Wyszyńskiego 14 (KBO)</t>
  </si>
  <si>
    <t>Pieskie życie - ogrodzony wybieg, plac zabaw i treningów dla czworonogów (KBO)</t>
  </si>
  <si>
    <t>Budowa kanalizacji deszczowej przy ul. Spółdzielców w Koninie</t>
  </si>
  <si>
    <t>Zmiana systemu ogrzewania c.o. i c.w.u. przy wykorzystaniu nowoczesnych rozwiązań i odnawialnych źródeł energii poprzez dotacje celowe dla osob fizycznych</t>
  </si>
  <si>
    <t>Budowa przyłączy kanalizacyjnych i przyłączenie nieruchomości do miejskiej sieci kanalizacyjnej</t>
  </si>
  <si>
    <t>Adaptacja pomieszczeń budynku Klubu Energetyk na potrzeby Młodzieżowego Domu Kultury w Koninie</t>
  </si>
  <si>
    <t>Kino plenerowe (KBO)</t>
  </si>
  <si>
    <t>Pomnik Konińskich Żołnierzy Wyklętych (KBO)</t>
  </si>
  <si>
    <t>Kultura fizyczna</t>
  </si>
  <si>
    <t>Biegniemy nad Wartę! - 4 kilometrowa ścieżka biegowa i nordic walking wokół wyspy Pociejewo (KBO)</t>
  </si>
  <si>
    <t>Plac do ćwiczeń gimnastycznych i siłowych (Street Workout Park) (KBO)</t>
  </si>
  <si>
    <t>Sportowy Konin 2 - Elektroniczna tablica wyników na stadionie im. Mariana Paska w Starym Koninie przy ul. Dmowskiego (KBO)</t>
  </si>
  <si>
    <t>Dotacja celowa do Samorządu Województwa Wielkopolskiego na wypłatę odszkodowań za grunty przejęte pod realizację zadania "Budowa drogi - łącznik od ul. Przemysłowej do ul. Kleczewskiej w Koninie"</t>
  </si>
  <si>
    <t>Drogi publiczne w miastach na prawach powiatu</t>
  </si>
  <si>
    <t>Przebudowa ulicy Dmowskiego w Koninie</t>
  </si>
  <si>
    <t>Budowa drogi - łącznik od ul. Przemysłowej do ul. Kleczewskiej w Koninie</t>
  </si>
  <si>
    <t>Przebudowa ulicy Kościuszki wraz z oświetleniem i odwodnieniem - etap II</t>
  </si>
  <si>
    <t>Nowy przebieg drogi krajowej nr 25 w Koninie - etap II</t>
  </si>
  <si>
    <t>Zakup monitoringu do ochrony obiektów</t>
  </si>
  <si>
    <t>Zakup sprzętu do realizacji zadań ZDM</t>
  </si>
  <si>
    <t xml:space="preserve">Zakup sprzętu komputerowego </t>
  </si>
  <si>
    <t>Komendy powiatowe Policji</t>
  </si>
  <si>
    <t>Adaptacja pomieszczeń dla osób zatrzymanych w Komendzie Miejskiej Policji</t>
  </si>
  <si>
    <t>Przebudowa pomieszczeń garażowych budynku strażnicy wraz z modernizacją kanalizacji deszczowej oraz wymianą nawierzchni placu manewrowego JRG Nr 1 i Komendy Miejskiej Państwowej Straży Pożarnej w Koninie</t>
  </si>
  <si>
    <t>"Szkoła bez barier" -  podjazd dla osób niepełnosprawnych przy Zespole Szkół im. M. Kopernika w Koninie (KBO)</t>
  </si>
  <si>
    <t>Załącznik nr 3</t>
  </si>
  <si>
    <t>Świadczenia rodzinne, świadczenie z funduszu alimentacyjnego oraz składki na ubezpieczenia emerytalne i rentowe z ubezpieczenia społecznego</t>
  </si>
  <si>
    <t>Nagrody o charakterze szczególnym niezaliczone do wynagrodzeń</t>
  </si>
  <si>
    <t>851</t>
  </si>
  <si>
    <t>Dotacja podmiotowa z budżetu dla publicznej jednostki systemu oświaty prowadzonej przez osobę prawną inną niż jednostka samorządu terytorialnego lub przez osobę fizyczną</t>
  </si>
  <si>
    <t>Stołówki szkolne i  przedszkolne</t>
  </si>
  <si>
    <t>Usługi opiekuńcze i  specjalistyczne usługi opiekuńcze</t>
  </si>
  <si>
    <t>O960</t>
  </si>
  <si>
    <t>Żłobki</t>
  </si>
  <si>
    <t>Ośrodki informacji turystycznej</t>
  </si>
  <si>
    <t>Instytucje kultury fizycznej</t>
  </si>
  <si>
    <t>RAZEM  zadania gminy</t>
  </si>
  <si>
    <t>Dotacje celowe otrzymane z budżetu państwa na zadania bieżące z zakresu administracji rządowej oraz inne zadania zlecone  ustawami realizowane przez powiat</t>
  </si>
  <si>
    <t>Pozostałe podatki na rzecz budżetów jednostek samorządu terytorialnego</t>
  </si>
  <si>
    <t xml:space="preserve">          Projekt  planu  na 2016 rok</t>
  </si>
  <si>
    <t>Gospodarka odpadami</t>
  </si>
  <si>
    <t>Utrzymanie zieleni w miastach i gminach</t>
  </si>
  <si>
    <t>Rodziny zastępcze</t>
  </si>
  <si>
    <t>Powiatowe urzędy pracy</t>
  </si>
  <si>
    <t>Dotacje celowe otrzymane z gminy  na zadania bieżące realizowane na podstawie porozumień (umów) między jednostkami samorządu terytorialnego</t>
  </si>
  <si>
    <t>Wpływy z podatku dochodowego od osób fizycznych</t>
  </si>
  <si>
    <t>O350</t>
  </si>
  <si>
    <t>Pomoc  społeczna</t>
  </si>
  <si>
    <t xml:space="preserve">Placówki opiekuńczo-wychowawcze </t>
  </si>
  <si>
    <t>Zespoły do spraw orzekania o niepełnosprawności</t>
  </si>
  <si>
    <t xml:space="preserve">Edukacyjna opieka  wychowawcza  </t>
  </si>
  <si>
    <t>Specjalne  ośrodki szkolno-wychowawcze</t>
  </si>
  <si>
    <t xml:space="preserve">Kultura i ochrona dziedzictwa narodowego  </t>
  </si>
  <si>
    <t>Dotacja podmiotowa z budżetu dla samorządowej instytucji kultury</t>
  </si>
  <si>
    <t>RAZEM zadania powiatu</t>
  </si>
  <si>
    <t>Licea  profilowane</t>
  </si>
  <si>
    <t>Szkoły zawodowe specjalne</t>
  </si>
  <si>
    <t>Centra kształcenia ustawicznego i praktycznego oraz ośrodki dokształcania zawodowego</t>
  </si>
  <si>
    <t>Wyszczególnienie</t>
  </si>
  <si>
    <t>Dotacje celowe</t>
  </si>
  <si>
    <t>Dotacje celowe w ramach programów finansowanych z udziałem środków europejskich oraz środków o których mowa w  art. 5 ust. 1 pkt 3 oraz ust. 3 pkt 5 i 6 ustawy, lub płatności w ramach budżetu środków europejskich, z wyłączeniem dochodów klasyfikowanych w  paragrafie  205</t>
  </si>
  <si>
    <t>%</t>
  </si>
  <si>
    <t xml:space="preserve">Zakup usług obejmujących wykonanie ekspertyz, analiz i opinii  </t>
  </si>
  <si>
    <t>0680</t>
  </si>
  <si>
    <t>1.</t>
  </si>
  <si>
    <t>2.</t>
  </si>
  <si>
    <t>3.</t>
  </si>
  <si>
    <t>Projekt planu na 2016 rok</t>
  </si>
  <si>
    <t xml:space="preserve">Spłata wcześniej zaciągniętych zobowiązań  </t>
  </si>
  <si>
    <t>Budowa kanalizacji deszczowej na terenie osiedla Pątnów w Koninie</t>
  </si>
  <si>
    <t>Wymiar sprawiedliwości</t>
  </si>
  <si>
    <t>Wpływy od rodziców z tytułu opłaty za pobyt dziecka w pieczy zastępczej</t>
  </si>
  <si>
    <t>Wpływy z opłat za korzystanie z wychowania przedszkolnego</t>
  </si>
  <si>
    <t>Wpływy z opłat za korzystanie z wyżywienia w jednostkach realizujących zadania z zakresu wychowania przedszkolnego</t>
  </si>
  <si>
    <t>0650</t>
  </si>
  <si>
    <t>Wpływy z opłat za wydanie prawa jazdy</t>
  </si>
  <si>
    <t>Wybory Prezydenta Rzeczypospolitej Polskiej</t>
  </si>
  <si>
    <t>Wybory do sejmu i senatu</t>
  </si>
  <si>
    <t>Referenda ogólnokrajowe i konstytucyjne</t>
  </si>
  <si>
    <t>Usuwanie skutków klęsk żywiołowych</t>
  </si>
  <si>
    <t>2040</t>
  </si>
  <si>
    <t>Dotacje celowe otrzymane z budżetu państwa na realizację zadań bieżacych gmin z zakresu edukacyjnej opieki wychowawczej finansowanych w całości przez budżet państwa w ramach programów rządowych</t>
  </si>
  <si>
    <t>6260</t>
  </si>
  <si>
    <t>§</t>
  </si>
  <si>
    <t>0660</t>
  </si>
  <si>
    <t>0670</t>
  </si>
  <si>
    <t>RAZEM GMINA</t>
  </si>
  <si>
    <t>RAZEM POWIAT</t>
  </si>
  <si>
    <t>Dotacje otrzymane z państwowych funduszy celowych na finansowanie lub dofinansowanie kosztów realizacji inwestycyji i zakupów inwestycyjnych jednostek sektora finansów publicznych</t>
  </si>
  <si>
    <t>2120</t>
  </si>
  <si>
    <t>OGÓŁEM</t>
  </si>
  <si>
    <t>Dotacje celowe z budżetu na finansowanie lub dofinansowanie kosztów realizacji inwestycji i zakupów inwestycyjnych jednostek nie zaliczanych do sektora finansów publicznych</t>
  </si>
  <si>
    <t>Rózne opłaty i składki</t>
  </si>
  <si>
    <t>Dotacja celowa z budżetu na finansowanie lub dofinansowanie zadań zleconych do realizacji pozostałaym jednostkom niezaliczanym do sektora finansów publicznych</t>
  </si>
  <si>
    <t>Nagrody konkursowe</t>
  </si>
  <si>
    <t>Realizacja zadań wymagających stosowania specjalnej organizacji nauki i metod pracy dla dzieci w przedszkolach, oddziałach przedszkolnych w szkołach podstawowych i innych formach wychowania przedszkolnego</t>
  </si>
  <si>
    <t>Inne formy pomocy dla uczniów</t>
  </si>
  <si>
    <t>Drogi publiczne wojewódzkie</t>
  </si>
  <si>
    <t>Dotacja celowa na pomoc finansową udzielana między jednostkami samorządu terytorialnego na dofinansowanie własnych zadań inwestycyjnych i zakupów inwestycyjnch</t>
  </si>
  <si>
    <t>Zadania  w zakresie upowszechniania turystyki</t>
  </si>
  <si>
    <t>Dotacje celowe przekazane dla powiatu na zadania bieżące realizowane na podstawie porozumień (umów) między jednostkami samorządu terytorialnego</t>
  </si>
  <si>
    <t>Wpłaty jednostek na państwowy fundusz celowy na finansowanie lub dofinansowanie zadań inwstycyjnych</t>
  </si>
  <si>
    <t xml:space="preserve">Opłaty z tytułu zakupu usług telekomunikacyjnych </t>
  </si>
  <si>
    <t>Składki na ubezpieczenia zdrowotne</t>
  </si>
  <si>
    <t>010</t>
  </si>
  <si>
    <t>01095</t>
  </si>
  <si>
    <t>Wpływy ze zwrotów dotacji oraz płatności, w tym wykorzystanych niezgodnie z przeznaczeniem lub wykorzystanych z naruszeniem procedur, o których mowa w art.. 184 ustawy, pobranych nienależnie lub w nadmiernej wysokości</t>
  </si>
  <si>
    <t>2990</t>
  </si>
  <si>
    <t>Wpłata środków finansowych z niewykorzystanych w terminie wydatków, które nie wygasają z upływem roku budżetowego</t>
  </si>
  <si>
    <t>Przeciwdziałanie alkoholizmowi</t>
  </si>
  <si>
    <t>0740</t>
  </si>
  <si>
    <t>Wpływy z dywidend</t>
  </si>
  <si>
    <t>2700</t>
  </si>
  <si>
    <t>Dotacje celowe w ramach programów finansowanych z udziałem środków europejskich oraz środków o których mowa w  art. 5 ust. 1 pkt 3 oraz ust. 3 pkt 5 i 6 ustawy, lub płatności w ramach budżetu środków europejskich, z wyłączeniem dochodów klasyfikowanych w  paragrafie  625</t>
  </si>
  <si>
    <t>wzrostu</t>
  </si>
  <si>
    <t>Przewidywane wykonanie planu  dochodów  na  2015 rok</t>
  </si>
  <si>
    <t>Przewidywane wykonanie planu  wydatków  na 2015 rok</t>
  </si>
  <si>
    <t>Projekt planu wydatków  na  2016 rok</t>
  </si>
  <si>
    <t>Projekt planu dochodów  2016 rok</t>
  </si>
  <si>
    <t>Załącznik nr 1</t>
  </si>
  <si>
    <t xml:space="preserve">do uchwały nr </t>
  </si>
  <si>
    <t>Rady Miasta Konina</t>
  </si>
  <si>
    <t>z dnia  grudnia 2015 roku</t>
  </si>
  <si>
    <t xml:space="preserve">  PROJEKT PLANU  DOCHODÓW  BUDŻETU  MIASTA  KONINA  NA 2016 ROK  </t>
  </si>
  <si>
    <t>Załącznik nr 2</t>
  </si>
  <si>
    <t xml:space="preserve"> PROJEKT PLANU  WYDATKÓW  BUDŻETU  MIASTA  KONINA  NA 2016 ROK </t>
  </si>
  <si>
    <t xml:space="preserve">             PROJEKT PLANU PRZYCHODÓW  I  ROZCHODÓW    </t>
  </si>
  <si>
    <t>Przychody</t>
  </si>
  <si>
    <t xml:space="preserve">    Rozchody</t>
  </si>
  <si>
    <r>
      <t xml:space="preserve"> § 952</t>
    </r>
    <r>
      <rPr>
        <sz val="9"/>
        <rFont val="Times New Roman"/>
        <family val="1"/>
      </rPr>
      <t xml:space="preserve">  - Projekt planu przychodów z zaciągniętych pożyczek i kredytów na rynku krajowym</t>
    </r>
  </si>
  <si>
    <r>
      <t>§ 992 -</t>
    </r>
    <r>
      <rPr>
        <sz val="9"/>
        <rFont val="Times New Roman"/>
        <family val="1"/>
      </rPr>
      <t xml:space="preserve"> Projekt planu spłat otrzymanych krajowych pożyczek i kredytów</t>
    </r>
  </si>
  <si>
    <t xml:space="preserve">                 BUDŻETU   MIASTA  KONINA  NA 2016 ROK</t>
  </si>
  <si>
    <t xml:space="preserve">      Projekt planu  na 2016 rok</t>
  </si>
  <si>
    <t>RAZEM</t>
  </si>
  <si>
    <t>Opłaty z tytułu  zakupu usług telekomunikacyjnych</t>
  </si>
  <si>
    <t xml:space="preserve">Opłaty z tytułu  zakupu usług telekomunikacyjnych </t>
  </si>
  <si>
    <t>Inne formy kształcenia osobno niewymienione</t>
  </si>
  <si>
    <t>Opłaty za administrowanie i czynsze za budynki,lokale i pomieszczenia garażowe</t>
  </si>
  <si>
    <t xml:space="preserve">Domy pomocy społecznej  </t>
  </si>
  <si>
    <t xml:space="preserve">Zakup usług obejmujących wykonanie ekspertyz, analiz i opinii </t>
  </si>
  <si>
    <t xml:space="preserve">Wydatki  inwestycyjne jednostek budżetowych  </t>
  </si>
  <si>
    <t>Lp.</t>
  </si>
  <si>
    <t>Zasiłki stałe</t>
  </si>
  <si>
    <t xml:space="preserve">Wpływy ze sprzedaży składników majątkowych </t>
  </si>
  <si>
    <t>6330</t>
  </si>
  <si>
    <t>Dotacje celowe z budżetu jednostki samorządu terytorialnego, udzielone w trybie art.221 ustawy na finansowanie lub dofinansowanie zadań zleconych do realizacji organizacjom prowadzącym działalność pożytku publicznego</t>
  </si>
  <si>
    <t>Dotacje celowe z budżetu jednostki samorządu terytorialnego, udzielone w trybie art.221 ustawy, na finansowanie lub dofinansowanie zadań zleconych do realizacji organizacjom prowadzącym działalność pożytku publicznego</t>
  </si>
  <si>
    <t>Pomoc materialna dla uczniów</t>
  </si>
  <si>
    <t>Stypendia dla uczniów</t>
  </si>
  <si>
    <t>Podatek od towarów i usług (VAT)</t>
  </si>
  <si>
    <t xml:space="preserve">Instytucje kultury fizycznej  </t>
  </si>
  <si>
    <t>Wynagrodzenia osobowe członków korpusu służby cywilnej</t>
  </si>
  <si>
    <t>Wpływy z opłat za  zezwolenia na sprzedaż napojów alkoholowych</t>
  </si>
  <si>
    <t>Świadczenia rodzinne, świadczenie z funduszu alimentacyjnego  oraz składki na ubezpieczenia emerytalne i rentowe z ubezpieczenia społecznego</t>
  </si>
  <si>
    <t>Wpływy z podatku rolnego, podatku leśnego, podatku od czynności cywilnoprawnych,  podatków i opłat lokalnych od osób prawnych i innych jednostek organizacyjnych</t>
  </si>
  <si>
    <t>O310</t>
  </si>
  <si>
    <t>O320</t>
  </si>
  <si>
    <t>O330</t>
  </si>
  <si>
    <t>O340</t>
  </si>
  <si>
    <t>O500</t>
  </si>
  <si>
    <t>Rekompensaty utraconych dochodów w podatkach i opłatach lokalnych</t>
  </si>
  <si>
    <t>Dotacja celowa z budżetu na finansowanie lub dofinansowanie zadań zleconych do realizacji pozostałym jednostkom niezaliczanym do sektora finansów publicznych</t>
  </si>
  <si>
    <t xml:space="preserve">Oświetlenie ulic, placów i dróg  </t>
  </si>
  <si>
    <t xml:space="preserve">Pozostała działalność  </t>
  </si>
  <si>
    <t>Nazwa</t>
  </si>
  <si>
    <t xml:space="preserve">Kultura i ochrona dziedzictwa narodowego      </t>
  </si>
  <si>
    <t>Dotacje celowe otrzymane z budżetu państwa na inwestycyjne i zakupy inwestycyjne z zakresu administracji rządowej oraz inne zadania zlecone ustawami realizowane przez powiat</t>
  </si>
  <si>
    <t>Dotacje celowe z budżetu na finansowanie lub dofinansowanie kosztów realizacji inwestycji i zakupów inwestycyjnych jednostek niezaliczanych do sektora finansów publicznych</t>
  </si>
  <si>
    <t>Dotacja podmiotowa z budżetu dla  samorządowej instytucji kultury</t>
  </si>
  <si>
    <t>Ochrona  zabytków i opieka nad zabytkami</t>
  </si>
  <si>
    <t>Obiekty sportowe</t>
  </si>
  <si>
    <t>Wpływy z podatku rolnego, podatku leśnego, podatku od spadków i darowizn, podatku od czynności cywilnoprawnych  oraz podatków i opłat lokalnych  od osób fizycznych</t>
  </si>
  <si>
    <t>Wydatki osobowe niezaliczone do uposażeń wypłacane żołnierzom i funkcjonariuszom</t>
  </si>
  <si>
    <t>Dodatkowe uposażenie roczne dla żołnierzy zawodowych oraz  nagrody roczne dla funkcjonariuszy</t>
  </si>
  <si>
    <t>Zadania powiatu</t>
  </si>
  <si>
    <t>Część równoważąca subwencji ogólnej dla powiatów</t>
  </si>
  <si>
    <t>Dokształcanie i doskonalenie nauczycieli</t>
  </si>
  <si>
    <t>Dotacja celowa z budżetu na finansowanie lub dofinansowanie zadań zleconych do realizacji pozostałym jednostkom nie zaliczanym do sektora finansów publicznych</t>
  </si>
  <si>
    <t>Jednostki specjalistycznego poradnictwa, mieszkania chronione i ośrodki interwencji kryzysowej</t>
  </si>
  <si>
    <t>Dotacje celowe otrzymane z budżetu państwa na realizację własnych zadań bieżących gmin (związków gmin)</t>
  </si>
  <si>
    <t>Zakup usług przez jednostki samorządu terytorialnego od innych jednostek samorządu terytorialnego</t>
  </si>
  <si>
    <t>Różne  opłaty i składki</t>
  </si>
  <si>
    <t>Powiatowe centra pomocy rodzinie</t>
  </si>
  <si>
    <t>Świetlice szkolne</t>
  </si>
  <si>
    <t>Poradnie psychologiczno-pedagogiczne,  w tym   poradnie specjalistyczne</t>
  </si>
  <si>
    <t xml:space="preserve">Projekt planu wydatków majątkowych realizowanych </t>
  </si>
  <si>
    <t>Składki na ubezpieczenia zdrowotne opłacane za osoby pobierające niektóre świadczenia z pomocy społecznej, niektóre świadczenia rodzinne, oraz za osoby uczestniczące w zajęciach w centrum integracji społecznej</t>
  </si>
  <si>
    <t>O430</t>
  </si>
  <si>
    <t>Wpływy z opłaty targowej</t>
  </si>
  <si>
    <t>Wpływy z innych opłat stanowiących dochody jednostek samorządu terytorialnego na podstawie ustaw</t>
  </si>
  <si>
    <t>O410</t>
  </si>
  <si>
    <t>Wpływy z opłaty skarbowej</t>
  </si>
  <si>
    <t>O480</t>
  </si>
  <si>
    <t>O490</t>
  </si>
  <si>
    <t>2007</t>
  </si>
  <si>
    <t>Wpływy z innych lokalnych opłat pobieranych przez jednostki samorządu terytorialnego na podstawie odrębnych ustaw</t>
  </si>
  <si>
    <t>Udziały gmin w podatkach stanowiących dochód budżetu państwa</t>
  </si>
  <si>
    <t>OO10</t>
  </si>
  <si>
    <t xml:space="preserve">Rezerwy </t>
  </si>
  <si>
    <t>w tym:</t>
  </si>
  <si>
    <t>rezerwa ogólna</t>
  </si>
  <si>
    <t>rezerwa celowa na zadania oświatowe</t>
  </si>
  <si>
    <t>Rezerwy na inwestycje i zakupy inwestycyjne</t>
  </si>
  <si>
    <t>Wydatki osobowe niezaliczone do wynagrodzeń</t>
  </si>
  <si>
    <t>Zasądzone renty</t>
  </si>
  <si>
    <t>Zakup usług zdrowotnych</t>
  </si>
  <si>
    <t xml:space="preserve">Przedszkola </t>
  </si>
  <si>
    <t>Dotacja podmiotowa z budżetu dla niepublicznej jednostki systemu oświaty</t>
  </si>
  <si>
    <t>Zakup leków, wyrobów medycznych i produktów  biobójczych</t>
  </si>
  <si>
    <t xml:space="preserve">Ośrodki wsparcia </t>
  </si>
  <si>
    <t>Opłaty za  administrowanie i czynsze za budynki, lokale i pomieszczenia garażowe</t>
  </si>
  <si>
    <r>
      <t xml:space="preserve">Zakup usług pozostałych </t>
    </r>
    <r>
      <rPr>
        <b/>
        <sz val="8"/>
        <rFont val="Times New Roman"/>
        <family val="1"/>
      </rPr>
      <t xml:space="preserve"> </t>
    </r>
  </si>
  <si>
    <r>
      <t xml:space="preserve">Wydatki inwestycyjne jednostek budżetowych   </t>
    </r>
    <r>
      <rPr>
        <sz val="8"/>
        <color indexed="10"/>
        <rFont val="Times New Roman"/>
        <family val="1"/>
      </rPr>
      <t xml:space="preserve"> </t>
    </r>
  </si>
  <si>
    <t xml:space="preserve">Koszty postępowania  sądowego i prokuratorskiego </t>
  </si>
  <si>
    <t>Przedszkola specjalne</t>
  </si>
  <si>
    <t xml:space="preserve">Dotacja przedmiotowa z budżetu dla samorządowego zakładu budżetowego </t>
  </si>
  <si>
    <t xml:space="preserve">Kultura fizyczna </t>
  </si>
  <si>
    <t xml:space="preserve">Dotacja celowa otrzymana  tytułu pomocy finansowej udzielanej między jednostkami samorządu terytorialnego na dofinansowanie własnych zadań bieżących  </t>
  </si>
  <si>
    <t xml:space="preserve">Wpływy z różnych dochodów </t>
  </si>
  <si>
    <t>Zadania w zakresie przeciwdziałania przemocy w rodzinie</t>
  </si>
  <si>
    <t>Odsetki od samorządowych papierów wartościowych lub zaciągniętych przez jednostkę samorządu terytorialnego kredytów i  pożyczek</t>
  </si>
  <si>
    <t>Różne rozliczenia finansowe</t>
  </si>
  <si>
    <t>Komisje egzaminacyjne</t>
  </si>
  <si>
    <t>Stołówki szkolne i przedszkolne</t>
  </si>
  <si>
    <t>Dochody od osób prawnych, od osób fizycznych i od innych jednostek nieposiadających osobowości prawnej oraz wydatki związane z ich poborem</t>
  </si>
  <si>
    <t>Ochrona zdrowia</t>
  </si>
  <si>
    <t xml:space="preserve"> </t>
  </si>
  <si>
    <t>w złotych</t>
  </si>
  <si>
    <t>Dział</t>
  </si>
  <si>
    <t>Rozdz.</t>
  </si>
  <si>
    <t>Transport i łączność</t>
  </si>
  <si>
    <t>Szkoły artystyczne</t>
  </si>
  <si>
    <t>Lokalny transport zbiorowy</t>
  </si>
  <si>
    <t>O760</t>
  </si>
  <si>
    <t>Wpływy z tytułu przekształcenia prawa użytkowania wieczystego przysługującego osobom fizycznym w prawo własności</t>
  </si>
  <si>
    <t>O770</t>
  </si>
  <si>
    <t>Wpłaty z tytułu odpłatnego nabycia prawa własności oraz prawa użytkowania wieczystego nieruchomości</t>
  </si>
  <si>
    <t>O970</t>
  </si>
  <si>
    <t>Wpływy z różnych dochodów</t>
  </si>
  <si>
    <t>Wpłaty na Państwowy Fundusz Rehabilitacji Osób Niepełnosprawnych</t>
  </si>
  <si>
    <t>Podatek od  nieruchomości</t>
  </si>
  <si>
    <t>Zakup środków żywności</t>
  </si>
  <si>
    <t>Dowożenie uczniów do szkół</t>
  </si>
  <si>
    <t>Wydatki  osobowe niezaliczone do wynagrodzeń</t>
  </si>
  <si>
    <t>Opłaty na rzecz budżetu państwa</t>
  </si>
  <si>
    <t>Szkolenia członków korpusu służby cywilnej</t>
  </si>
  <si>
    <t xml:space="preserve">Nadzór budowlany </t>
  </si>
  <si>
    <t>Oddziały przedszkolne w szkołach podstawowych</t>
  </si>
  <si>
    <t>Świetlice  szkolne</t>
  </si>
  <si>
    <t>Stypendia  dla uczniów</t>
  </si>
  <si>
    <t>Dywidendy</t>
  </si>
  <si>
    <t>O910</t>
  </si>
  <si>
    <t xml:space="preserve">Opłaty na rzecz budżetów jednostek samorządu terytorialnego </t>
  </si>
  <si>
    <t>O920</t>
  </si>
  <si>
    <t>Dotacje celowe otrzymane z budżetu państwa na realizację zadań bieżących 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</si>
  <si>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</si>
  <si>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O570</t>
  </si>
  <si>
    <t>Kolonie i obozy oraz inne formy wypoczynku dzieci i młodzieży szkolnej, a także szkolenia młodzieży</t>
  </si>
  <si>
    <t>O360</t>
  </si>
  <si>
    <t>Dotacje celowe z budżetu na finansowanie lub dofinansowanie prac remontowych i konserwatorskich obiektów zabytkowych przekazane jednostkom niezaliczanym do sektora finansów publicznych</t>
  </si>
  <si>
    <t>Straż Graniczna</t>
  </si>
  <si>
    <t>Gospodarka gruntami i nieruchomościami</t>
  </si>
  <si>
    <t>Pozostała działalność</t>
  </si>
  <si>
    <t>Administracja publiczna</t>
  </si>
  <si>
    <t>Bezpieczeństwo publiczne i ochrona przeciwpożarowa</t>
  </si>
  <si>
    <t>Różne rozliczenia</t>
  </si>
  <si>
    <t>Rezerwy ogólne i celowe</t>
  </si>
  <si>
    <t>Oświata i wychowanie</t>
  </si>
  <si>
    <t>Szkoły podstawowe</t>
  </si>
  <si>
    <t>Gimnazja</t>
  </si>
  <si>
    <t>Gospodarka komunalna i ochrona środowiska</t>
  </si>
  <si>
    <t>Działalność usługowa</t>
  </si>
  <si>
    <t xml:space="preserve">OGÓŁEM  </t>
  </si>
  <si>
    <t>Zakup usług obejmujących wykonanie ekspertyz, analiz i opinii</t>
  </si>
  <si>
    <t>0550</t>
  </si>
  <si>
    <t>Zadania z zakresu  geodezji i  kartografii</t>
  </si>
  <si>
    <t>2460</t>
  </si>
  <si>
    <t>Kluby dziecięce</t>
  </si>
  <si>
    <t>Pozostałe odsetki</t>
  </si>
  <si>
    <t>Obrona narodowa</t>
  </si>
  <si>
    <t>Pozostałe wydatki obronne</t>
  </si>
  <si>
    <t>zarządzanie kryzysowe</t>
  </si>
  <si>
    <t>Rehabilitacja zawodowa i społeczna osób niepełnosprawnych</t>
  </si>
  <si>
    <t>Dotacja podmiotowa z budżetu dla jednostek niezaliczanych do sektora finansów publicznych</t>
  </si>
  <si>
    <t>Zarządzanie kryzysowe</t>
  </si>
  <si>
    <t>Izby wytrzeźwień</t>
  </si>
  <si>
    <t>Podatek od nieruchomości</t>
  </si>
  <si>
    <t>Zasiłki i pomoc w naturze oraz składki na ubezpieczenia emerytalne i rentowe</t>
  </si>
  <si>
    <t>Ośrodki pomocy społecznej</t>
  </si>
  <si>
    <t>Edukacyjna opieka wychowawcza</t>
  </si>
  <si>
    <t>Komendy powiatowe Państwowej Straży Pożarnej</t>
  </si>
  <si>
    <t>Gospodarka mieszkaniowa</t>
  </si>
  <si>
    <t>Licea ogólnokształcące</t>
  </si>
  <si>
    <t>Wpływy do wyjaśnienia</t>
  </si>
  <si>
    <t>2980</t>
  </si>
  <si>
    <t>Wpływy do rozliczenia</t>
  </si>
  <si>
    <t>8510</t>
  </si>
  <si>
    <t>Wpływy z różnych rozliczeń</t>
  </si>
  <si>
    <t>Wpływy z pozostałych odsetek</t>
  </si>
  <si>
    <t xml:space="preserve">Wpływy z opłat za trwały zarząd, użytkowanie i służebności </t>
  </si>
  <si>
    <t>Wpływy z opłat z tytułu użytkowania wieczystego nieruchomości</t>
  </si>
  <si>
    <t>Wpływy z tytułu grzywien, mandatów i innych kar pieniężnych od osób fizycznych</t>
  </si>
  <si>
    <t xml:space="preserve">Wpływy z najmu i dzierżawy składników majątkowych Skarbu Państwa,  jednostek samorządu terytorialnego lub innych jednostek zaliczanych do sektora finansów publicznych oraz innych umów o podobnym charakterze  </t>
  </si>
  <si>
    <t>Wpływy z podatku od działalności gospodarczej osób fizycznych, opłacanego w  formie karty podatkowej</t>
  </si>
  <si>
    <t>Wpływy z odsetek od nieterminowych wpłat z tytułu podatków i opłat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</si>
  <si>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</si>
  <si>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</si>
  <si>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</si>
  <si>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</si>
  <si>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</si>
  <si>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</si>
  <si>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Dotacje celowe z budżetu na finansowanie lub dofinansowanie kosztów realizacji inwestycyji i zakupów inwestycyjnych w innych jednostkach sektora finansów publicznych</t>
  </si>
  <si>
    <t>Dotacja celowa z budżetu dla pozostałych jednostek zaliczanych do sektora finansów publicznych</t>
  </si>
  <si>
    <t>Wpływy z opłaty od posiadania psów</t>
  </si>
  <si>
    <t>Wpływy z tytułu grzywien i innych kar pieniężnych od osób prawnych i innych jednostek organizacyjnych</t>
  </si>
  <si>
    <t xml:space="preserve">Wpływy z podatku dochodowego od osób prawnych </t>
  </si>
  <si>
    <t>Wpływy z otrzymanych spadków, zapisów i darowizn w postaci pieniężnej</t>
  </si>
  <si>
    <t>Środki otrzymane od pozostałych jednostek zaliczanych do sektora finansów publicznych na realizację zadań bieżących jednostek zaliczanych do sektora finansów publicznych</t>
  </si>
  <si>
    <t>Wpływy z najmu i dzierżawy składników majątkowych Skarbu Państwa, jednostek samorządu terytorialnego lub innych jednostek zaliczanych do sektora finansów publicznych oraz innych umów o podobnym charakterze</t>
  </si>
  <si>
    <t xml:space="preserve">Dotacja celowa otrzymana z tytułu pomocy finansowej udzielanej między jednostkami samorządu terytorialnego na dofinansowanie własnych zadań inwestycyjnych i zakupów inwestycyjnych  </t>
  </si>
  <si>
    <t>Dotacje celowe otrzymane z budżetu państwa na realizację inwestycji i zakupów inwestycyjnych własnych gmin (związków gmin)</t>
  </si>
  <si>
    <t>Dotacje celowe w ramach programów finansowanych z udziałem środków europejskich oraz środków o których mowa w  art. 5 ust. 1 pkt 3 oraz ust. 3 pkt 5 i 6 ustawy, lub płatności w ramach budżetu środków europejskich, z wyłączeniem dochodów klasyfikowanych w paragrafie 205</t>
  </si>
  <si>
    <t>Kary, odszkodowania i grzywny wypłacane na rzecz osób prawnych i innych jednostek organizacyjnych</t>
  </si>
  <si>
    <t>Wybory do Sejmu i Senatu</t>
  </si>
  <si>
    <t>Zakup środków dydaktycznych i książek</t>
  </si>
  <si>
    <t>Odsetki od dotacji oraz płatności: wykorzystanych niezgodnie z przeznaczeniem lub wykorzystanych z naruszeniem procedur o których mowa w art. 184 ustawy, pobranych niezależnie lub w nadmiernej wysokości</t>
  </si>
  <si>
    <t>Zadania z zakresu geodezji i kartografii</t>
  </si>
  <si>
    <t>Uposażenia żołnierzy zawodowych oraz funkcjonariuszy</t>
  </si>
  <si>
    <t>Inne należności żołnierzy zawodowych oraz funkcjonariuszy zaliczane do wynagrodzeń</t>
  </si>
  <si>
    <t>Równoważniki pieniężne i ekwiwalenty dla żołnierzy i funkcjonariuszy oraz pozostałe należności</t>
  </si>
  <si>
    <t>% wzrostu</t>
  </si>
  <si>
    <t>2030</t>
  </si>
  <si>
    <t>2110</t>
  </si>
  <si>
    <t>6300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</si>
  <si>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</si>
  <si>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Szkoły zawodowe</t>
  </si>
  <si>
    <t>Opłaty na rzecz budżetów jednostek samorządu terytorialnego</t>
  </si>
  <si>
    <t>Szkolenia pracowników niebędących członkami korpusu służby cywilnej</t>
  </si>
  <si>
    <t>Wpłaty jednostek samorządu terytorialnego do budżetu państwa</t>
  </si>
  <si>
    <t>rezerwa  ogólna</t>
  </si>
  <si>
    <t>Dotacja podmiotowa z budżetu dla niepublicznej  jednostki systemu oświaty</t>
  </si>
  <si>
    <t>Pomoc społeczna</t>
  </si>
  <si>
    <t>Zakup usług obejmujących tłumaczenia</t>
  </si>
  <si>
    <t>Urzędy gmin (miast i miast na prawach powiatu)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</si>
  <si>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</si>
  <si>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</si>
  <si>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Gospodarka gruntami i nieruchomościami   </t>
  </si>
  <si>
    <t xml:space="preserve">Zakup usług pozostałych </t>
  </si>
  <si>
    <t>Różne opłaty i składki</t>
  </si>
  <si>
    <t>Dotacje celowe z budżetu na finansowanie lub dofinansowanie kosztów realizacji inwestycji i zakupów inwestycyjnych innych jednostek sektora finansów publicznych</t>
  </si>
  <si>
    <t>Domy i ośrodki kultury, świetlice i kluby</t>
  </si>
  <si>
    <t>O10</t>
  </si>
  <si>
    <t>Rolnictwo i łowiectwo</t>
  </si>
  <si>
    <t>O1095</t>
  </si>
  <si>
    <t xml:space="preserve">§ </t>
  </si>
  <si>
    <t>NAZWA</t>
  </si>
  <si>
    <t>ogółem</t>
  </si>
  <si>
    <t>zadania z zakresu administracji rządowej</t>
  </si>
  <si>
    <t>Pozostałe zadania w zakresie polityki społecznej</t>
  </si>
  <si>
    <t>Biblioteki</t>
  </si>
  <si>
    <t xml:space="preserve">       Zadania gminy</t>
  </si>
  <si>
    <t>O1030</t>
  </si>
  <si>
    <t>Izby rolnicze</t>
  </si>
  <si>
    <t xml:space="preserve">Wpłaty gmin na rzecz izb rolniczych w wysokości 2% uzyskanych wpływów z podatku rolnego  </t>
  </si>
  <si>
    <t xml:space="preserve">Zakup materiałów i wyposażenia </t>
  </si>
  <si>
    <t>Zakup usług pozostałych</t>
  </si>
  <si>
    <t xml:space="preserve">Transport i łączność  </t>
  </si>
  <si>
    <t xml:space="preserve">Drogi publiczne gminne </t>
  </si>
  <si>
    <t>Zakup materiałów i wyposażenia</t>
  </si>
  <si>
    <t>Zakup usług remontowych</t>
  </si>
  <si>
    <t xml:space="preserve">Kary i odszkodowania wypłacane na rzecz osób fizycznych </t>
  </si>
  <si>
    <t>6410</t>
  </si>
  <si>
    <t>Zwalczanie narkomanii</t>
  </si>
  <si>
    <t xml:space="preserve">Oczyszczanie miast i wsi  </t>
  </si>
  <si>
    <t xml:space="preserve">Schroniska dla zwierząt  </t>
  </si>
  <si>
    <t>Wpływy i wydatki związane z gromadzeniem środków  z opłat i kar za korzystanie ze środowiska</t>
  </si>
  <si>
    <t xml:space="preserve">Wydatki  inwestycyjne jednostek budżetowych </t>
  </si>
  <si>
    <t>Straż gminna (miejska)</t>
  </si>
  <si>
    <t>Dotacje celowe przekazane do powiatu na zadania bieżące realizowane na podstawie porozumień (umów) między jednostkami samorządu terytorialnego</t>
  </si>
  <si>
    <t>Odsetki od dotacji oraz płatności: wykorzystanych niezgodnie z przeznaczeniem lub wykorzystanych z naruszeniem procedur o których mowa w art.. 184 ustawy, pobranych niezależnie lub w nadmiernej wysokości</t>
  </si>
  <si>
    <t>Zwrot dotacji oraz płatności, w tym wykorzystanych niezgodnie z przeznaczeniem lub wykorzystanych z naruszeniem procedur o których mowa w art.. 184 ustawy, pobranych niezależnie lub w nadmiernej wysokości</t>
  </si>
  <si>
    <t>Dotacje celowe przekazane  dla powiatu na zadania bieżące realizowane na podstawie porozumień (umów) między jednostkami samorządu terytorialnego</t>
  </si>
  <si>
    <t>Internaty i bursy szkolne</t>
  </si>
  <si>
    <t>Szkolne schroniska młodzieżowe</t>
  </si>
  <si>
    <t>Zadania gminy</t>
  </si>
  <si>
    <t>Urzędy wojewódzkie</t>
  </si>
  <si>
    <t>O690</t>
  </si>
  <si>
    <t>Wpływy z różnych opłat</t>
  </si>
  <si>
    <t>Ośrodki wsparcia</t>
  </si>
  <si>
    <t>O830</t>
  </si>
  <si>
    <t>Wpływy z usług</t>
  </si>
  <si>
    <t>O470</t>
  </si>
  <si>
    <t>O750</t>
  </si>
  <si>
    <t>OO20</t>
  </si>
  <si>
    <t>Część oświatowa subwencji ogólnej dla jednostek samorządu terytorialnego</t>
  </si>
  <si>
    <t>Subwencje ogólne z budżetu państwa</t>
  </si>
  <si>
    <t>Część równoważąca subwencji ogólnej dla gmin</t>
  </si>
  <si>
    <t>Przedszkola</t>
  </si>
  <si>
    <t>0580</t>
  </si>
  <si>
    <t>0910</t>
  </si>
  <si>
    <t xml:space="preserve">Wydatki na zakup i objęcie akcji, wniesienie wkładów do spółek prawa handlowego oraz  na uzupełnienie funduszy statutowych banków państwowych i innych instytucji finansowych   </t>
  </si>
  <si>
    <t>Środki na dofinansowanie własnych zadań bieżących gmin ( związków gmin), powiatów (związków powiatów), samorządów województw pozyskane z innych źródeł</t>
  </si>
  <si>
    <t>Kwalifikacja wojskowa</t>
  </si>
  <si>
    <t>Opłata na rzecz budżetu państwa</t>
  </si>
  <si>
    <t>Modernizacja oświetlenia ulicznego miasta  Konina na energooszczędne</t>
  </si>
  <si>
    <t>Zarządzanie energią w budynkach użyteczności publicznej w Koninie - pożyczka</t>
  </si>
  <si>
    <t>Zadania  inwestycje i spłata zadłużenia</t>
  </si>
  <si>
    <t>Składki na ubezpieczenia zdrowotne oraz świadczenia dla osób nie objętych obowiązkiem ubezpieczenia zdrowotnego</t>
  </si>
  <si>
    <t xml:space="preserve">Zakup usług pozostałych  </t>
  </si>
  <si>
    <t xml:space="preserve">Cmentarze  </t>
  </si>
  <si>
    <t xml:space="preserve">Urzędy wojewódzkie  </t>
  </si>
  <si>
    <t>Wynagrodzenia osobowe pracowników</t>
  </si>
  <si>
    <t>Dodatkowe wynagrodzenie roczne</t>
  </si>
  <si>
    <t>Składki na ubezpieczenie zdrowotne</t>
  </si>
  <si>
    <t>Szkoły podstawowe specjalne</t>
  </si>
  <si>
    <t>Gimnazja specjalne</t>
  </si>
  <si>
    <t>Zespoły  obsługi ekonomiczno-administracyjnej szkół</t>
  </si>
  <si>
    <t>Wpłaty jednostek na państwowy fundusz celowy</t>
  </si>
  <si>
    <t>0870</t>
  </si>
  <si>
    <t>Dotacja celowa z budżetu na finansowanie lub dofinansowanie zadań zleconych do realizacji stowarzyszeniom</t>
  </si>
  <si>
    <t xml:space="preserve">Przeciwdziałanie alkoholizmowi  </t>
  </si>
  <si>
    <t>Świadczenia społeczne</t>
  </si>
  <si>
    <t>Dodatki mieszkaniowe</t>
  </si>
  <si>
    <t>Usługi opiekuńcze i specjalistyczne usługi opiekuńcze</t>
  </si>
  <si>
    <t>0370</t>
  </si>
  <si>
    <t xml:space="preserve">Żłobki  </t>
  </si>
  <si>
    <t>Wydatki inwestycyjne jednostek budżetowych</t>
  </si>
  <si>
    <t>Koszty postępowania sądowego i prokuratorskiego</t>
  </si>
  <si>
    <t>RAZEM zadania gminy</t>
  </si>
  <si>
    <t xml:space="preserve">Drogi publiczne w miastach na prawach powiatu </t>
  </si>
  <si>
    <t xml:space="preserve">Turystyka   </t>
  </si>
  <si>
    <t xml:space="preserve">Gospodarka mieszkaniowa  </t>
  </si>
  <si>
    <t xml:space="preserve">Działalność usługowa </t>
  </si>
  <si>
    <t xml:space="preserve">Prace geodezyjne i kartograficzne (nieinwestycyjne)   </t>
  </si>
  <si>
    <t xml:space="preserve">Opracowania geodezyjne i kartograficzne  </t>
  </si>
  <si>
    <t xml:space="preserve">Starostwa powiatowe  </t>
  </si>
  <si>
    <t xml:space="preserve">Komendy powiatowe Policji  </t>
  </si>
  <si>
    <t xml:space="preserve">Zasiłki stałe </t>
  </si>
  <si>
    <t>Składki na ubezpieczenia społeczne</t>
  </si>
  <si>
    <t>Składki na Fundusz Pracy</t>
  </si>
  <si>
    <t>Odpisy na zakładowy fundusz świadczeń socjalnych</t>
  </si>
  <si>
    <t xml:space="preserve">Rady gmin (miast i miast na prawach powiatu)  </t>
  </si>
  <si>
    <t>Podróże służbowe krajowe</t>
  </si>
  <si>
    <t>Podróże służbowe zagraniczne</t>
  </si>
  <si>
    <t xml:space="preserve">Wydatki osobowe niezaliczone do wynagrodzeń  </t>
  </si>
  <si>
    <t>Wynagrodzenia bezosobowe</t>
  </si>
  <si>
    <t xml:space="preserve">Zakup materiałów i wyposażenia  </t>
  </si>
  <si>
    <t xml:space="preserve">Zakup energii </t>
  </si>
  <si>
    <t xml:space="preserve">Podróże służbowe krajowe   </t>
  </si>
  <si>
    <t xml:space="preserve">Podróże służbowe zagraniczne  </t>
  </si>
  <si>
    <t>Promocja jednostek samorządu terytorialnego</t>
  </si>
  <si>
    <t xml:space="preserve">Ochotnicze straże pożarne </t>
  </si>
  <si>
    <t>Zakup energii</t>
  </si>
  <si>
    <t xml:space="preserve">Obrona cywilna </t>
  </si>
  <si>
    <t xml:space="preserve">Pozostała działalność </t>
  </si>
  <si>
    <t>Wspieranie rodziny</t>
  </si>
  <si>
    <t>Koszty postępowania  sądowego i prokuratorskiego</t>
  </si>
  <si>
    <t>Wydatki na zakupy inwestycyjne jednostek budżetowych</t>
  </si>
  <si>
    <t xml:space="preserve">Zakup usług remontowych </t>
  </si>
  <si>
    <t xml:space="preserve">Różne opłaty i składki </t>
  </si>
  <si>
    <t xml:space="preserve">Plany zagospodarowania przestrzennego    </t>
  </si>
  <si>
    <t>Różne wydatki na rzecz osób fizycznych</t>
  </si>
  <si>
    <t>Opracowania geodezyjne i  kartograficzne</t>
  </si>
  <si>
    <t>Prace geodezyjne i kartograficzne (nieinwestycyjne)</t>
  </si>
  <si>
    <t>Opracowania geodezyjne i kartograficzne</t>
  </si>
  <si>
    <t>Nadzór budowlany</t>
  </si>
  <si>
    <t>Starostwa powiatowe</t>
  </si>
  <si>
    <t>Dotacje celowe otrzymane z budżetu państwa na zadania bieżące realizowane przez powiat na podstawie porozumień z organami administracji rządowej</t>
  </si>
  <si>
    <t>O420</t>
  </si>
  <si>
    <t>Wpływy z opłaty komunikacyjnej</t>
  </si>
  <si>
    <t>Udziały powiatów w podatkach stanowiących dochód budżetu państwa</t>
  </si>
  <si>
    <t>Placówki opiekuńczo-wychowawcze</t>
  </si>
  <si>
    <t>Domy pomocy społecznej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</si>
  <si>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</si>
  <si>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</si>
  <si>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Zespoły do spraw orzekania o  niepełnosprawności</t>
  </si>
  <si>
    <t>Państwowy Fundusz Rehabilitacji Osób Niepełnosprawnych</t>
  </si>
  <si>
    <t>Kultura i ochrona  dziedzictwa narodowego</t>
  </si>
  <si>
    <t>RAZEM  zadania powiatu</t>
  </si>
  <si>
    <t>OGÓŁEM BUDŻET MIASTA KONINA</t>
  </si>
  <si>
    <t>Obsługa długu publicznego</t>
  </si>
  <si>
    <t>Obsługa papierów wartościowych, kredytów i pożyczek jednostek samorządu terytorialnego</t>
  </si>
  <si>
    <t xml:space="preserve">FINANSÓW PUBLICZNYCH NA CELE PUBLICZNE ZWIĄZANE Z REALIZACJĄ </t>
  </si>
  <si>
    <t xml:space="preserve">Określenie zadań </t>
  </si>
  <si>
    <t>Razem zadania gminy</t>
  </si>
  <si>
    <t xml:space="preserve">Dotacje podmiotowe </t>
  </si>
  <si>
    <t>dotacja dla niepublicznej szkoły podstawowej rozdz.80101</t>
  </si>
  <si>
    <t>dotacja dla niepublicznego przedszkola i punktów przedszkolnych rozdz. 80104</t>
  </si>
  <si>
    <t>dotacja dla niepublicznego gimnazjum  rozdz.80110</t>
  </si>
  <si>
    <t>Gospodarka komunalna                         i ochrona środowiska</t>
  </si>
  <si>
    <t>Kultura i ochrona dziedzictwa narodowego</t>
  </si>
  <si>
    <t xml:space="preserve">Kultura fizyczna  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</si>
  <si>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</si>
  <si>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</si>
  <si>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</si>
  <si>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niepublicznej szkoły zawodowej rozdz. 80130</t>
  </si>
  <si>
    <t>dotacja dla publicznego liceum ogólnokształcącego rozdz. 80150</t>
  </si>
  <si>
    <t>Turystyka</t>
  </si>
  <si>
    <t xml:space="preserve"> Limit wydatków bieżących na  programy  finansowane z udziałem środków  </t>
  </si>
  <si>
    <t xml:space="preserve"> o których mowa w art. 5 ust. 1 pkt 2 i 3 ustawy o finansach publicznych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</si>
  <si>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</si>
  <si>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</si>
  <si>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</si>
  <si>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</si>
  <si>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</si>
  <si>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Europejski Fundusz Społeczny - Program  Operacyjny Wiedza Edukacja Rozwój</t>
  </si>
  <si>
    <t>Gimnazjum nr 2 im. Polskich Alpinistów w Koninie</t>
  </si>
  <si>
    <t xml:space="preserve">cel: Wzmocnienie kompetencji zawodowych nauczycieli poprzez udział w szkoleniach za granicą. </t>
  </si>
  <si>
    <t xml:space="preserve"> projekt Pt. "Wspólnie obudźmy lepsze jutro"</t>
  </si>
  <si>
    <t>2015-2016</t>
  </si>
  <si>
    <t>Program Edukacyjny Erasmus+ Akcja KA 2 Mobilność  edukacyjna</t>
  </si>
  <si>
    <t>Przedszkole nr 32 z oddziałami integracyjntmi w Koninie</t>
  </si>
  <si>
    <t xml:space="preserve">cel: podniesienie kompetencji matematyczno-językowych przy wykorzystaniu wypracowanych innowacyjnych metod pracy oraz zastosowania technik multimedialnych dla dzieci w wieku przedszkolnym </t>
  </si>
  <si>
    <t xml:space="preserve">Projekt pt. „Pod wspólnym niebem Europy”
</t>
  </si>
  <si>
    <t>2015-2017</t>
  </si>
  <si>
    <t>Program Edukacyjny Erasmus+ Mobilność  edukacyjna</t>
  </si>
  <si>
    <t>cel: międzynarodowa wymiana młodzieży pod kątem poszukiwania nowych metod integracji w środowisku osób niepełnosprawnych, poszerzenie kompetencji</t>
  </si>
  <si>
    <t xml:space="preserve">Projekt pt. „Przekraczanie granic. Nowe podejście do integracji”
</t>
  </si>
  <si>
    <t xml:space="preserve">1. </t>
  </si>
  <si>
    <t xml:space="preserve"> I Liceum  Ogólnokształcące  im. Tadeusza Kościuszki w Koninie</t>
  </si>
  <si>
    <t>cel: nabycie kompetencji kluczowych i zawodowych przez przedstawicieli kadry pracującej w placówkach oświaty dzięki udziałowi w zagranicznych mobilnościach</t>
  </si>
  <si>
    <t xml:space="preserve"> projekt Pt. "Uczący się nauczyciele - wykształcony uczeń"</t>
  </si>
  <si>
    <t xml:space="preserve">2. </t>
  </si>
  <si>
    <t>Program Edukacyjny Erasmus+ Akcja 1 Mobilność  edukacyjna</t>
  </si>
  <si>
    <t>Zespół Szkół Budowlanych  im. Eugeniusz Kwiatkowskiego w Koninie</t>
  </si>
  <si>
    <t>cel: kształcenie uczniów w zawodach z branży budowlanej, geodezyjnej, logistycznej, gastronomicznej, hotelarskiej i mechanicznej</t>
  </si>
  <si>
    <t xml:space="preserve"> projekt Pt. "Staż dla zawodowców - zagraniczna praktyka zawodowa dla uczniów ZSB"</t>
  </si>
  <si>
    <t xml:space="preserve">3. </t>
  </si>
  <si>
    <t>Zespół Szkół Górniczo-Energetycznych im. Stanisława Staszica w Koninie</t>
  </si>
  <si>
    <t>cel: udział nauczycieli języków obcych w kursach i szkoleniach zagranicznych</t>
  </si>
  <si>
    <t xml:space="preserve"> projekt Pt. "Otwieramy się na Europę"</t>
  </si>
  <si>
    <t xml:space="preserve">do Uchwały nr </t>
  </si>
  <si>
    <t>z dnia   grudnia 2015 roku</t>
  </si>
  <si>
    <t xml:space="preserve">                  2016 rok</t>
  </si>
  <si>
    <t xml:space="preserve"> na 2016 rok</t>
  </si>
  <si>
    <t>ZAŁĄCZNIK nr 4</t>
  </si>
  <si>
    <t>Załącznik nr 9</t>
  </si>
  <si>
    <t>Programy polityki zdrowotnej</t>
  </si>
  <si>
    <t>ZAŁĄCZNIK nr 12</t>
  </si>
  <si>
    <t>do Uchwały nr</t>
  </si>
  <si>
    <t>z dnia</t>
  </si>
  <si>
    <t xml:space="preserve">PROJEKT PLANU  PRZYCHODÓW  I  KOSZTÓW </t>
  </si>
  <si>
    <t>SAMORZĄDOWEGO ZAKŁADU BUDŻETOWEGO NA 2016 ROK</t>
  </si>
  <si>
    <t>Projekt planu przychodów na 2016 rok</t>
  </si>
  <si>
    <t>Projekt planu kosztów na 2016 rok</t>
  </si>
  <si>
    <t xml:space="preserve">w tym: </t>
  </si>
  <si>
    <t>TREŚĆ</t>
  </si>
  <si>
    <t>PRZYCHODY</t>
  </si>
  <si>
    <t>kwota dotacji z budżetu miasta</t>
  </si>
  <si>
    <t>zakres dotacji</t>
  </si>
  <si>
    <t>KOSZTY</t>
  </si>
  <si>
    <t>wpłata do budżetu</t>
  </si>
  <si>
    <t>rozdział</t>
  </si>
  <si>
    <t xml:space="preserve">  w tym:</t>
  </si>
  <si>
    <t>Miejski Zakład Komunikacji</t>
  </si>
  <si>
    <t>a) dotacja przedmiotowa</t>
  </si>
  <si>
    <t>dotacja przedmiotowa do kosztów 1 wozokilometra w wysokości 2,95 zł</t>
  </si>
  <si>
    <t xml:space="preserve">       w tym:</t>
  </si>
  <si>
    <t>porozumienia międzygminne</t>
  </si>
  <si>
    <t>ZAŁĄCZNIK nr 11</t>
  </si>
  <si>
    <t>Przewidywane wykonanie w 2015 roku</t>
  </si>
  <si>
    <t>Dotacje podmiotowe</t>
  </si>
  <si>
    <t>Koniński Dom Kultury   rozdz.92109</t>
  </si>
  <si>
    <t>Młodzieżowy Dom Kultury  rozdz.92109</t>
  </si>
  <si>
    <t>Dotacje przedmiotowe</t>
  </si>
  <si>
    <t>do kosztów utrzymania zbiorowej komunikacji miejskiej   rozdz.60004</t>
  </si>
  <si>
    <t>na realizacje zadania pn. "Aglomeracja konińska - współpraca JST kluczem do nowoczesnego rozwoju gospodarczego"   rozdz.75095</t>
  </si>
  <si>
    <t>Gospodarka komunalna  i ochrona środowiska</t>
  </si>
  <si>
    <t>usuwanie wyrobów zawierających azbest z nieruchomości położonych na terenie miasta Konina  rozdz.90002</t>
  </si>
  <si>
    <t>Kino plenerowe (KBO)   rozdz.92109</t>
  </si>
  <si>
    <t>Miejska Biblioteka Publiczna  rozdz.92116</t>
  </si>
  <si>
    <t>dotacja celowa do Samorządu Województwa Wielkopolskiego na wypłatę odszkodowań za grunty przejęte pod realizację zadania pn. " Budowa drogi - łącznik od ul. Przemysłowej do ul. Kleczewskiej w Koninie"  rozdz.60013</t>
  </si>
  <si>
    <t>realizacja zadania publicznego pn.: Koordynacja Szlaku Piastowskiego na terenie Województwa Wielkopolskiego  rozdz.63003</t>
  </si>
  <si>
    <t>koszty kształcenia ucznia na terenie innej jst  rozdz.80195</t>
  </si>
  <si>
    <t>koszty utrzymania dzieci z miasta Konina umieszczonych w rodzinach zastępczych na terenie kraju  rozdz.85204</t>
  </si>
  <si>
    <t>prowadzenie działalności Powiatowego Urzędu Pracy  rozdz.85333</t>
  </si>
  <si>
    <t>dotacja celowa na realizację zadań w ramach KBO (rozdz.92116) w tym:</t>
  </si>
  <si>
    <t>Konin lubi książki</t>
  </si>
  <si>
    <t>zakup książki mówionej dla MBP - 50 sztuk</t>
  </si>
  <si>
    <t>ZAŁĄCZNIK nr 10</t>
  </si>
  <si>
    <t xml:space="preserve">PROJEKT PLANU DOTACJI DLA PODMIOTÓW NIE ZALICZANYCH DO SEKTORA </t>
  </si>
  <si>
    <t>ZADAŃ MIASTA NA 2016 ROK</t>
  </si>
  <si>
    <t>dotacja dla niepublicznego przedszkola rozdz. 80149</t>
  </si>
  <si>
    <t>dotacja dla niepublicznego gimnazjum  rozdz.80150</t>
  </si>
  <si>
    <t>Dotacja celowa na zakup zestawu hydraulicznego dla OSP Konin-Chorzeń rozdz.75412</t>
  </si>
  <si>
    <t>Dotacja celowa na zakup ciężkiego samochodu strażackiego dla OSP Konin-Chorzeń  rozdz.75412</t>
  </si>
  <si>
    <t>Oswiata i wychowanie</t>
  </si>
  <si>
    <t>wyposażenie szkoł w podręczniki, materiały edukacyjne lub materiały ćwiczeniowe rozdz.80101</t>
  </si>
  <si>
    <t>wyposażenie szkoł w podręczniki, materiały edukacyjne lub materiały ćwiczeniowe rozdz.80110</t>
  </si>
  <si>
    <t>prowadzenie Punktu Konsultacyjnego dla osób i rodzin dotkniętych problemem narkotykowym rozdz.85153</t>
  </si>
  <si>
    <t>prowadzenie świetlic środowiskowych z dożywianiem   rozdz.85154</t>
  </si>
  <si>
    <t>realizacja programu zapobiegania i przeciwdziałania przemocy w rodzinie "Bezpieczeństwo w rodzinie" i "Dzieciństwo bez przemocy"   rozdz.85154</t>
  </si>
  <si>
    <t>realizacja programu "Szkolna Interwencja Profilaktyczna"   rozdz.85154</t>
  </si>
  <si>
    <t>organizacja półkolonii letnich i zimowych z programem profilaktycznym, z dożywianiem i zajęciami sportowymi dla dzieci z rodzin dysfunkcyjnych   rozdz.85154</t>
  </si>
  <si>
    <t>organizacja kolonii socjoterapeutycznej dla dzieci i młodzieży z rodzin dysfunkcyjnych   rozdz.85154</t>
  </si>
  <si>
    <t>prowadzenie środowiskowych ognisk wychowawczych  rozdz.85154</t>
  </si>
  <si>
    <t>prowadzenie świetlic socjoterapeutycznych  rozdz.85154</t>
  </si>
  <si>
    <t>realizacja programu pomocy żywnościowej dla rodzin dysfunkcyjnych  rozdz.85154</t>
  </si>
  <si>
    <t>olimpiada wiedzy nt. uzależnień  rozdz.85154</t>
  </si>
  <si>
    <t>prowadzenie Środowiskowego Domu Samopomocy dla Osób z Upośledzeniem Umysłowym  rozdz.85203</t>
  </si>
  <si>
    <t>świadczenie usług opiekuńczych w domu podopiecznego na terenie miasta Konina  rozdz.85228</t>
  </si>
  <si>
    <t>udzielanie schronienia osobom bezdomnym, zapewnienie posiłku oraz niezbędnego ubrania osobom tego pozbawionym  rozdz.85295</t>
  </si>
  <si>
    <t>prowadzenie ogrzewalni dla osób bezdomnych  rozdz.85295</t>
  </si>
  <si>
    <t>prowadzenie Ośrodka Rehabilitacyjno-Edukacyjno-Wychowawczego i Punktu Rehabilitacyjnego w Koninie  rozdz.85295</t>
  </si>
  <si>
    <t>realizacja zadania pn. "Klub wsparcia rodziny z dzieckiem z niepełnosprawnością"  rozdz.85295</t>
  </si>
  <si>
    <t>dotacja celowa dla niepublicznego żłobka  rozdz.85305</t>
  </si>
  <si>
    <t>dotacja celowa dla 2 klubów dziecięcych  rozdz.85306</t>
  </si>
  <si>
    <t>dotacja celowa dla niepublicznego klubu dziecięcego  rozdz.85306</t>
  </si>
  <si>
    <t>wspieranie realizacji zadań organizacji pozarządowych w sferze zadań publicznych  rozdz.85395</t>
  </si>
  <si>
    <t>realizacja zadania pn.: "Ja też mam super wakacje" rozdz.85395</t>
  </si>
  <si>
    <t>działalność wspomagająca rozwój wspólnot i społeczności lokalnych  rozdz.85395</t>
  </si>
  <si>
    <t>„PI  Wsparcie rozwoju narzędzi związanych z kontraktowaniem usług społecznych w Koninie” w ramach programu POKL (dotacja celowa)  rozdz.85395</t>
  </si>
  <si>
    <t>PWP - Działalność na rzecz rozwoju gospodarczego wspierająca lokalny rynek pracy  rozdz.85395</t>
  </si>
  <si>
    <t>usuwanie wyrobów zawierających azbest z nieruchomości położonych na terenie miasta Konina rozdz.90002</t>
  </si>
  <si>
    <t>prowadzenie schroniska dla zwierząt, realizacja Programu opieki nad zwierzętami bezdomnymi oraz zapobieganie bezdomności zwierząt na terenie miasta Konina  rozdz.90013</t>
  </si>
  <si>
    <t>budowa przyłączy kanalizacyjnych i przyłączenie nieruchomości do miejskiej sieci kanalizacyjnej  rozdz.90095</t>
  </si>
  <si>
    <t>zmiana systemu ogrzewania c.o. i c.w.u. przy wykorzystaniu nowoczesnych rozwiązań i odnawialnych źródeł energii poprzez dotacje celowe dla osób fizycznych  rozdz.90095</t>
  </si>
  <si>
    <t>prace konserwatorsko-restauratorskie polichromii E.Niewiadomskiego - Parafia pw Św. Bartłomieja   rozdz.92120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</si>
</sst>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00000"/>
    <numFmt numFmtId="178" formatCode="#,##0.00000000"/>
    <numFmt numFmtId="179" formatCode="#,##0.0000000"/>
    <numFmt numFmtId="180" formatCode="0.000000000"/>
    <numFmt numFmtId="181" formatCode="#,##0.00_ ;[Red]\-#,##0.00\ "/>
    <numFmt numFmtId="182" formatCode="0.0000000000"/>
    <numFmt numFmtId="183" formatCode="0.00000000000"/>
  </numFmts>
  <fonts count="9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0"/>
    </font>
    <font>
      <sz val="6"/>
      <name val="Times New Roman"/>
      <family val="1"/>
    </font>
    <font>
      <sz val="8"/>
      <color indexed="10"/>
      <name val="Times New Roman"/>
      <family val="1"/>
    </font>
    <font>
      <sz val="10"/>
      <name val="Arial CE"/>
      <family val="0"/>
    </font>
    <font>
      <b/>
      <sz val="14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8"/>
      <color indexed="10"/>
      <name val="Times New Roman"/>
      <family val="1"/>
    </font>
    <font>
      <sz val="8"/>
      <name val="Arial CE"/>
      <family val="2"/>
    </font>
    <font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4"/>
      <name val="Arial"/>
      <family val="0"/>
    </font>
    <font>
      <sz val="14"/>
      <name val="Arial CE"/>
      <family val="0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9"/>
      <name val="Arial"/>
      <family val="2"/>
    </font>
    <font>
      <i/>
      <sz val="7"/>
      <name val="Times New Roman"/>
      <family val="1"/>
    </font>
    <font>
      <b/>
      <sz val="10"/>
      <name val="Arial"/>
      <family val="0"/>
    </font>
    <font>
      <sz val="9"/>
      <color indexed="10"/>
      <name val="Times New Roman"/>
      <family val="1"/>
    </font>
    <font>
      <sz val="10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0"/>
    </font>
    <font>
      <sz val="8"/>
      <name val="Times New Roman CE"/>
      <family val="1"/>
    </font>
    <font>
      <i/>
      <sz val="14"/>
      <name val="Times New Roman CE"/>
      <family val="0"/>
    </font>
    <font>
      <b/>
      <i/>
      <sz val="16"/>
      <name val="Times New Roman CE"/>
      <family val="0"/>
    </font>
    <font>
      <b/>
      <sz val="8"/>
      <name val="Times New Roman CE"/>
      <family val="1"/>
    </font>
    <font>
      <i/>
      <sz val="8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 CE"/>
      <family val="0"/>
    </font>
    <font>
      <sz val="10"/>
      <color indexed="10"/>
      <name val="Times New Roman CE"/>
      <family val="1"/>
    </font>
    <font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i/>
      <sz val="9"/>
      <name val="Times New Roman"/>
      <family val="1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>
        <color indexed="63"/>
      </bottom>
    </border>
    <border>
      <left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996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4" fontId="15" fillId="0" borderId="13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" fontId="15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left" vertical="center"/>
    </xf>
    <xf numFmtId="4" fontId="15" fillId="0" borderId="0" xfId="0" applyNumberFormat="1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" fontId="15" fillId="0" borderId="18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15" fillId="0" borderId="0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15" fillId="0" borderId="11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vertical="center"/>
    </xf>
    <xf numFmtId="4" fontId="15" fillId="0" borderId="23" xfId="0" applyNumberFormat="1" applyFont="1" applyFill="1" applyBorder="1" applyAlignment="1">
      <alignment vertical="center"/>
    </xf>
    <xf numFmtId="4" fontId="15" fillId="0" borderId="24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>
      <alignment vertical="center"/>
    </xf>
    <xf numFmtId="4" fontId="25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" fontId="16" fillId="0" borderId="18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24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/>
    </xf>
    <xf numFmtId="0" fontId="3" fillId="0" borderId="12" xfId="0" applyFont="1" applyFill="1" applyBorder="1" applyAlignment="1">
      <alignment vertical="center" wrapText="1"/>
    </xf>
    <xf numFmtId="4" fontId="1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8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" fontId="15" fillId="0" borderId="19" xfId="0" applyNumberFormat="1" applyFont="1" applyFill="1" applyBorder="1" applyAlignment="1">
      <alignment vertical="center"/>
    </xf>
    <xf numFmtId="4" fontId="15" fillId="0" borderId="16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15" fillId="0" borderId="16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16" fillId="0" borderId="15" xfId="0" applyNumberFormat="1" applyFont="1" applyFill="1" applyBorder="1" applyAlignment="1">
      <alignment vertical="center"/>
    </xf>
    <xf numFmtId="4" fontId="16" fillId="0" borderId="2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4" fontId="19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4" fontId="15" fillId="0" borderId="21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vertical="center" wrapText="1"/>
    </xf>
    <xf numFmtId="4" fontId="15" fillId="0" borderId="19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22" fillId="0" borderId="11" xfId="0" applyNumberFormat="1" applyFont="1" applyFill="1" applyBorder="1" applyAlignment="1">
      <alignment horizontal="left" vertical="center" wrapText="1"/>
    </xf>
    <xf numFmtId="4" fontId="15" fillId="0" borderId="20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" fontId="8" fillId="0" borderId="2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4" fontId="18" fillId="0" borderId="0" xfId="0" applyNumberFormat="1" applyFont="1" applyFill="1" applyAlignment="1">
      <alignment vertical="center"/>
    </xf>
    <xf numFmtId="0" fontId="15" fillId="0" borderId="0" xfId="54" applyFont="1">
      <alignment/>
      <protection/>
    </xf>
    <xf numFmtId="0" fontId="15" fillId="0" borderId="0" xfId="0" applyFont="1" applyAlignment="1">
      <alignment vertical="center"/>
    </xf>
    <xf numFmtId="0" fontId="9" fillId="0" borderId="13" xfId="54" applyFont="1" applyBorder="1" applyAlignment="1">
      <alignment horizontal="center" vertical="center"/>
      <protection/>
    </xf>
    <xf numFmtId="0" fontId="12" fillId="0" borderId="10" xfId="54" applyFont="1" applyBorder="1" applyAlignment="1">
      <alignment horizontal="left" vertical="center" wrapText="1"/>
      <protection/>
    </xf>
    <xf numFmtId="0" fontId="13" fillId="0" borderId="10" xfId="54" applyFont="1" applyFill="1" applyBorder="1" applyAlignment="1">
      <alignment vertical="center" wrapText="1"/>
      <protection/>
    </xf>
    <xf numFmtId="0" fontId="20" fillId="0" borderId="11" xfId="54" applyFont="1" applyFill="1" applyBorder="1" applyAlignment="1">
      <alignment vertical="center" wrapText="1"/>
      <protection/>
    </xf>
    <xf numFmtId="0" fontId="20" fillId="0" borderId="12" xfId="52" applyFont="1" applyFill="1" applyBorder="1" applyAlignment="1">
      <alignment vertical="center" wrapText="1"/>
      <protection/>
    </xf>
    <xf numFmtId="4" fontId="14" fillId="0" borderId="11" xfId="54" applyNumberFormat="1" applyFont="1" applyFill="1" applyBorder="1" applyAlignment="1">
      <alignment vertical="center"/>
      <protection/>
    </xf>
    <xf numFmtId="4" fontId="51" fillId="0" borderId="10" xfId="54" applyNumberFormat="1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4" fontId="3" fillId="0" borderId="0" xfId="0" applyNumberFormat="1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0" fillId="0" borderId="11" xfId="0" applyFont="1" applyFill="1" applyBorder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4" fontId="5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vertical="center" wrapText="1"/>
    </xf>
    <xf numFmtId="4" fontId="15" fillId="0" borderId="23" xfId="0" applyNumberFormat="1" applyFont="1" applyFill="1" applyBorder="1" applyAlignment="1">
      <alignment vertical="center" wrapText="1"/>
    </xf>
    <xf numFmtId="4" fontId="51" fillId="0" borderId="0" xfId="0" applyNumberFormat="1" applyFont="1" applyFill="1" applyAlignment="1">
      <alignment/>
    </xf>
    <xf numFmtId="4" fontId="15" fillId="0" borderId="13" xfId="0" applyNumberFormat="1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vertical="center"/>
    </xf>
    <xf numFmtId="4" fontId="15" fillId="0" borderId="17" xfId="0" applyNumberFormat="1" applyFont="1" applyFill="1" applyBorder="1" applyAlignment="1">
      <alignment horizontal="left" vertical="center" wrapText="1"/>
    </xf>
    <xf numFmtId="4" fontId="22" fillId="0" borderId="12" xfId="0" applyNumberFormat="1" applyFont="1" applyFill="1" applyBorder="1" applyAlignment="1">
      <alignment horizontal="left" vertical="center" wrapText="1"/>
    </xf>
    <xf numFmtId="4" fontId="56" fillId="0" borderId="14" xfId="0" applyNumberFormat="1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4" fillId="0" borderId="2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4" fontId="57" fillId="0" borderId="16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" fontId="16" fillId="0" borderId="11" xfId="0" applyNumberFormat="1" applyFont="1" applyFill="1" applyBorder="1" applyAlignment="1">
      <alignment vertical="center"/>
    </xf>
    <xf numFmtId="4" fontId="16" fillId="0" borderId="25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vertical="center"/>
    </xf>
    <xf numFmtId="49" fontId="10" fillId="0" borderId="32" xfId="0" applyNumberFormat="1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23" fillId="0" borderId="33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horizontal="center" vertical="center"/>
    </xf>
    <xf numFmtId="4" fontId="58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2" fillId="0" borderId="2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/>
    </xf>
    <xf numFmtId="4" fontId="6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 wrapText="1"/>
    </xf>
    <xf numFmtId="4" fontId="8" fillId="0" borderId="22" xfId="0" applyNumberFormat="1" applyFont="1" applyFill="1" applyBorder="1" applyAlignment="1">
      <alignment horizontal="right" vertical="center"/>
    </xf>
    <xf numFmtId="4" fontId="56" fillId="0" borderId="22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4" fontId="11" fillId="0" borderId="11" xfId="0" applyNumberFormat="1" applyFont="1" applyFill="1" applyBorder="1" applyAlignment="1">
      <alignment vertical="center"/>
    </xf>
    <xf numFmtId="0" fontId="5" fillId="0" borderId="0" xfId="54" applyFont="1" applyAlignment="1">
      <alignment/>
      <protection/>
    </xf>
    <xf numFmtId="0" fontId="5" fillId="0" borderId="18" xfId="54" applyFont="1" applyBorder="1" applyAlignment="1">
      <alignment vertical="center"/>
      <protection/>
    </xf>
    <xf numFmtId="0" fontId="13" fillId="0" borderId="12" xfId="54" applyFont="1" applyBorder="1" applyAlignment="1">
      <alignment vertical="center"/>
      <protection/>
    </xf>
    <xf numFmtId="0" fontId="15" fillId="0" borderId="16" xfId="54" applyFont="1" applyBorder="1" applyAlignment="1">
      <alignment vertical="center"/>
      <protection/>
    </xf>
    <xf numFmtId="0" fontId="20" fillId="0" borderId="15" xfId="54" applyFont="1" applyBorder="1" applyAlignment="1">
      <alignment vertical="center" wrapText="1"/>
      <protection/>
    </xf>
    <xf numFmtId="0" fontId="9" fillId="0" borderId="11" xfId="54" applyFont="1" applyBorder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vertical="center" wrapText="1"/>
      <protection/>
    </xf>
    <xf numFmtId="0" fontId="10" fillId="0" borderId="0" xfId="0" applyFont="1" applyAlignment="1">
      <alignment/>
    </xf>
    <xf numFmtId="0" fontId="49" fillId="0" borderId="11" xfId="54" applyFont="1" applyBorder="1" applyAlignment="1">
      <alignment vertical="center" wrapText="1"/>
      <protection/>
    </xf>
    <xf numFmtId="4" fontId="50" fillId="0" borderId="11" xfId="54" applyNumberFormat="1" applyFont="1" applyBorder="1" applyAlignment="1">
      <alignment vertical="center"/>
      <protection/>
    </xf>
    <xf numFmtId="0" fontId="20" fillId="0" borderId="11" xfId="54" applyFont="1" applyBorder="1" applyAlignment="1">
      <alignment vertical="center" wrapText="1"/>
      <protection/>
    </xf>
    <xf numFmtId="4" fontId="51" fillId="0" borderId="10" xfId="54" applyNumberFormat="1" applyFont="1" applyBorder="1" applyAlignment="1">
      <alignment vertical="center"/>
      <protection/>
    </xf>
    <xf numFmtId="0" fontId="3" fillId="0" borderId="0" xfId="54" applyFont="1" applyAlignment="1">
      <alignment vertical="center" wrapText="1"/>
      <protection/>
    </xf>
    <xf numFmtId="3" fontId="10" fillId="0" borderId="0" xfId="54" applyNumberFormat="1" applyFont="1" applyAlignment="1">
      <alignment vertical="center"/>
      <protection/>
    </xf>
    <xf numFmtId="4" fontId="48" fillId="0" borderId="0" xfId="54" applyNumberFormat="1" applyFont="1" applyAlignment="1">
      <alignment vertical="center"/>
      <protection/>
    </xf>
    <xf numFmtId="4" fontId="16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8" fillId="0" borderId="15" xfId="0" applyFont="1" applyFill="1" applyBorder="1" applyAlignment="1">
      <alignment vertical="center"/>
    </xf>
    <xf numFmtId="4" fontId="22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left" vertical="center"/>
    </xf>
    <xf numFmtId="4" fontId="18" fillId="0" borderId="0" xfId="0" applyNumberFormat="1" applyFont="1" applyAlignment="1">
      <alignment/>
    </xf>
    <xf numFmtId="49" fontId="12" fillId="0" borderId="13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65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66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69" fillId="0" borderId="11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24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vertical="center"/>
    </xf>
    <xf numFmtId="2" fontId="11" fillId="0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16" fillId="0" borderId="20" xfId="0" applyNumberFormat="1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15" fillId="0" borderId="11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vertical="center"/>
    </xf>
    <xf numFmtId="4" fontId="25" fillId="0" borderId="19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4" fontId="19" fillId="0" borderId="18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4" fontId="25" fillId="0" borderId="18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9" xfId="55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0" fillId="0" borderId="11" xfId="55" applyFont="1" applyFill="1" applyBorder="1" applyAlignment="1">
      <alignment horizontal="left" vertical="center" wrapText="1"/>
      <protection/>
    </xf>
    <xf numFmtId="0" fontId="10" fillId="0" borderId="18" xfId="55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/>
    </xf>
    <xf numFmtId="49" fontId="10" fillId="0" borderId="11" xfId="52" applyNumberFormat="1" applyFont="1" applyFill="1" applyBorder="1" applyAlignment="1">
      <alignment horizontal="left" vertical="center" wrapText="1"/>
      <protection/>
    </xf>
    <xf numFmtId="4" fontId="19" fillId="0" borderId="11" xfId="0" applyNumberFormat="1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4" fontId="77" fillId="0" borderId="10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4" fontId="25" fillId="0" borderId="15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" fontId="77" fillId="0" borderId="11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5" fillId="0" borderId="0" xfId="56" applyFont="1" applyFill="1">
      <alignment/>
      <protection/>
    </xf>
    <xf numFmtId="0" fontId="15" fillId="0" borderId="0" xfId="0" applyFont="1" applyFill="1" applyBorder="1" applyAlignment="1">
      <alignment/>
    </xf>
    <xf numFmtId="0" fontId="15" fillId="0" borderId="0" xfId="56" applyFont="1" applyFill="1" applyBorder="1">
      <alignment/>
      <protection/>
    </xf>
    <xf numFmtId="0" fontId="10" fillId="0" borderId="0" xfId="56" applyFont="1" applyFill="1">
      <alignment/>
      <protection/>
    </xf>
    <xf numFmtId="4" fontId="18" fillId="0" borderId="0" xfId="56" applyNumberFormat="1" applyFont="1" applyFill="1">
      <alignment/>
      <protection/>
    </xf>
    <xf numFmtId="0" fontId="78" fillId="0" borderId="0" xfId="53" applyFont="1" applyFill="1">
      <alignment/>
      <protection/>
    </xf>
    <xf numFmtId="0" fontId="15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0" fontId="15" fillId="0" borderId="0" xfId="53" applyFont="1" applyFill="1" applyBorder="1">
      <alignment/>
      <protection/>
    </xf>
    <xf numFmtId="0" fontId="10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15" fillId="0" borderId="18" xfId="56" applyFont="1" applyFill="1" applyBorder="1" applyAlignment="1">
      <alignment horizontal="center"/>
      <protection/>
    </xf>
    <xf numFmtId="0" fontId="15" fillId="0" borderId="18" xfId="53" applyFont="1" applyFill="1" applyBorder="1">
      <alignment/>
      <protection/>
    </xf>
    <xf numFmtId="0" fontId="15" fillId="0" borderId="18" xfId="53" applyFont="1" applyFill="1" applyBorder="1" applyAlignment="1">
      <alignment horizontal="center"/>
      <protection/>
    </xf>
    <xf numFmtId="0" fontId="19" fillId="0" borderId="12" xfId="53" applyFont="1" applyFill="1" applyBorder="1" applyAlignment="1">
      <alignment vertical="center"/>
      <protection/>
    </xf>
    <xf numFmtId="0" fontId="19" fillId="0" borderId="16" xfId="53" applyFont="1" applyFill="1" applyBorder="1" applyAlignment="1">
      <alignment vertical="center"/>
      <protection/>
    </xf>
    <xf numFmtId="4" fontId="15" fillId="0" borderId="0" xfId="53" applyNumberFormat="1" applyFont="1" applyFill="1" applyBorder="1">
      <alignment/>
      <protection/>
    </xf>
    <xf numFmtId="0" fontId="15" fillId="0" borderId="10" xfId="56" applyFont="1" applyFill="1" applyBorder="1" applyAlignment="1">
      <alignment horizontal="center" vertical="top"/>
      <protection/>
    </xf>
    <xf numFmtId="0" fontId="19" fillId="0" borderId="10" xfId="53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top" wrapText="1"/>
      <protection/>
    </xf>
    <xf numFmtId="4" fontId="79" fillId="0" borderId="0" xfId="53" applyNumberFormat="1" applyFont="1" applyFill="1" applyBorder="1" applyAlignment="1">
      <alignment horizontal="right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4" fontId="10" fillId="0" borderId="0" xfId="53" applyNumberFormat="1" applyFont="1" applyFill="1" applyAlignment="1">
      <alignment horizontal="center" vertical="center" wrapText="1"/>
      <protection/>
    </xf>
    <xf numFmtId="4" fontId="18" fillId="0" borderId="0" xfId="56" applyNumberFormat="1" applyFont="1" applyFill="1" applyAlignment="1">
      <alignment vertical="top"/>
      <protection/>
    </xf>
    <xf numFmtId="4" fontId="18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12" xfId="56" applyFont="1" applyFill="1" applyBorder="1" applyAlignment="1">
      <alignment horizontal="left" vertical="top"/>
      <protection/>
    </xf>
    <xf numFmtId="0" fontId="15" fillId="0" borderId="13" xfId="53" applyFont="1" applyFill="1" applyBorder="1" applyAlignment="1">
      <alignment horizontal="center" vertical="top" wrapText="1"/>
      <protection/>
    </xf>
    <xf numFmtId="0" fontId="3" fillId="0" borderId="13" xfId="53" applyFont="1" applyFill="1" applyBorder="1" applyAlignment="1">
      <alignment horizontal="center" vertical="top" wrapText="1"/>
      <protection/>
    </xf>
    <xf numFmtId="4" fontId="25" fillId="0" borderId="11" xfId="53" applyNumberFormat="1" applyFont="1" applyFill="1" applyBorder="1" applyAlignment="1">
      <alignment horizontal="right" vertical="center" wrapText="1"/>
      <protection/>
    </xf>
    <xf numFmtId="0" fontId="16" fillId="0" borderId="18" xfId="56" applyFont="1" applyFill="1" applyBorder="1" applyAlignment="1">
      <alignment horizontal="center" vertical="center"/>
      <protection/>
    </xf>
    <xf numFmtId="0" fontId="16" fillId="0" borderId="16" xfId="53" applyFont="1" applyFill="1" applyBorder="1" applyAlignment="1">
      <alignment vertical="center" wrapText="1"/>
      <protection/>
    </xf>
    <xf numFmtId="4" fontId="15" fillId="0" borderId="0" xfId="56" applyNumberFormat="1" applyFont="1" applyFill="1" applyBorder="1" applyAlignment="1">
      <alignment vertical="center" wrapText="1"/>
      <protection/>
    </xf>
    <xf numFmtId="0" fontId="3" fillId="0" borderId="24" xfId="0" applyFont="1" applyFill="1" applyBorder="1" applyAlignment="1">
      <alignment vertical="center"/>
    </xf>
    <xf numFmtId="4" fontId="19" fillId="0" borderId="18" xfId="53" applyNumberFormat="1" applyFont="1" applyFill="1" applyBorder="1" applyAlignment="1">
      <alignment horizontal="center" vertical="center" wrapText="1"/>
      <protection/>
    </xf>
    <xf numFmtId="0" fontId="15" fillId="0" borderId="15" xfId="56" applyFont="1" applyFill="1" applyBorder="1" applyAlignment="1">
      <alignment horizontal="center" vertical="center"/>
      <protection/>
    </xf>
    <xf numFmtId="4" fontId="15" fillId="0" borderId="24" xfId="56" applyNumberFormat="1" applyFont="1" applyFill="1" applyBorder="1" applyAlignment="1">
      <alignment vertical="center"/>
      <protection/>
    </xf>
    <xf numFmtId="4" fontId="19" fillId="0" borderId="15" xfId="53" applyNumberFormat="1" applyFont="1" applyFill="1" applyBorder="1" applyAlignment="1">
      <alignment horizontal="center" vertical="center" wrapText="1"/>
      <protection/>
    </xf>
    <xf numFmtId="0" fontId="15" fillId="0" borderId="10" xfId="56" applyFont="1" applyFill="1" applyBorder="1" applyAlignment="1">
      <alignment horizontal="center" vertical="center"/>
      <protection/>
    </xf>
    <xf numFmtId="4" fontId="15" fillId="0" borderId="23" xfId="56" applyNumberFormat="1" applyFont="1" applyFill="1" applyBorder="1" applyAlignment="1">
      <alignment vertical="center"/>
      <protection/>
    </xf>
    <xf numFmtId="0" fontId="3" fillId="0" borderId="23" xfId="0" applyFont="1" applyFill="1" applyBorder="1" applyAlignment="1">
      <alignment vertical="center"/>
    </xf>
    <xf numFmtId="0" fontId="15" fillId="0" borderId="24" xfId="53" applyFont="1" applyFill="1" applyBorder="1" applyAlignment="1">
      <alignment vertical="center" wrapText="1"/>
      <protection/>
    </xf>
    <xf numFmtId="0" fontId="15" fillId="0" borderId="13" xfId="56" applyFont="1" applyFill="1" applyBorder="1" applyAlignment="1">
      <alignment vertical="center" wrapText="1"/>
      <protection/>
    </xf>
    <xf numFmtId="4" fontId="19" fillId="0" borderId="10" xfId="53" applyNumberFormat="1" applyFont="1" applyFill="1" applyBorder="1" applyAlignment="1">
      <alignment horizontal="right" vertical="center" wrapText="1"/>
      <protection/>
    </xf>
    <xf numFmtId="0" fontId="15" fillId="0" borderId="12" xfId="56" applyFont="1" applyFill="1" applyBorder="1" applyAlignment="1">
      <alignment vertical="center" wrapText="1"/>
      <protection/>
    </xf>
    <xf numFmtId="4" fontId="15" fillId="0" borderId="18" xfId="56" applyNumberFormat="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vertical="center"/>
    </xf>
    <xf numFmtId="4" fontId="15" fillId="0" borderId="10" xfId="56" applyNumberFormat="1" applyFont="1" applyFill="1" applyBorder="1" applyAlignment="1">
      <alignment vertical="center"/>
      <protection/>
    </xf>
    <xf numFmtId="0" fontId="3" fillId="0" borderId="14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4" fontId="80" fillId="0" borderId="0" xfId="0" applyNumberFormat="1" applyFont="1" applyFill="1" applyAlignment="1">
      <alignment/>
    </xf>
    <xf numFmtId="4" fontId="81" fillId="0" borderId="0" xfId="0" applyNumberFormat="1" applyFont="1" applyFill="1" applyAlignment="1">
      <alignment/>
    </xf>
    <xf numFmtId="4" fontId="82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4" fontId="19" fillId="0" borderId="18" xfId="53" applyNumberFormat="1" applyFont="1" applyFill="1" applyBorder="1" applyAlignment="1">
      <alignment horizontal="right" vertical="center" wrapText="1"/>
      <protection/>
    </xf>
    <xf numFmtId="4" fontId="19" fillId="0" borderId="15" xfId="53" applyNumberFormat="1" applyFont="1" applyFill="1" applyBorder="1" applyAlignment="1">
      <alignment horizontal="right" vertical="center" wrapText="1"/>
      <protection/>
    </xf>
    <xf numFmtId="4" fontId="19" fillId="0" borderId="19" xfId="53" applyNumberFormat="1" applyFont="1" applyFill="1" applyBorder="1" applyAlignment="1">
      <alignment horizontal="right" vertical="center" wrapText="1"/>
      <protection/>
    </xf>
    <xf numFmtId="4" fontId="19" fillId="0" borderId="21" xfId="53" applyNumberFormat="1" applyFont="1" applyFill="1" applyBorder="1" applyAlignment="1">
      <alignment horizontal="right" vertical="center" wrapText="1"/>
      <protection/>
    </xf>
    <xf numFmtId="4" fontId="19" fillId="0" borderId="14" xfId="53" applyNumberFormat="1" applyFont="1" applyFill="1" applyBorder="1" applyAlignment="1">
      <alignment horizontal="right" vertical="center" wrapText="1"/>
      <protection/>
    </xf>
    <xf numFmtId="4" fontId="12" fillId="0" borderId="12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51" fillId="0" borderId="0" xfId="54" applyNumberFormat="1" applyFont="1" applyBorder="1" applyAlignment="1">
      <alignment vertical="center"/>
      <protection/>
    </xf>
    <xf numFmtId="4" fontId="9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12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25" fillId="0" borderId="12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1" fillId="0" borderId="22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52" fillId="0" borderId="15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4" fontId="23" fillId="0" borderId="23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15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0" fillId="0" borderId="20" xfId="0" applyFont="1" applyFill="1" applyBorder="1" applyAlignment="1">
      <alignment/>
    </xf>
    <xf numFmtId="4" fontId="15" fillId="0" borderId="18" xfId="0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vertical="center" wrapText="1"/>
    </xf>
    <xf numFmtId="4" fontId="16" fillId="0" borderId="21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4" fontId="63" fillId="0" borderId="20" xfId="0" applyNumberFormat="1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4" fontId="11" fillId="0" borderId="20" xfId="0" applyNumberFormat="1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4" fontId="63" fillId="0" borderId="23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7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/>
    </xf>
    <xf numFmtId="0" fontId="77" fillId="0" borderId="16" xfId="0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2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/>
    </xf>
    <xf numFmtId="0" fontId="10" fillId="0" borderId="16" xfId="0" applyFont="1" applyFill="1" applyBorder="1" applyAlignment="1">
      <alignment horizontal="left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/>
    </xf>
    <xf numFmtId="0" fontId="12" fillId="0" borderId="11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/>
    </xf>
    <xf numFmtId="49" fontId="10" fillId="0" borderId="0" xfId="52" applyNumberFormat="1" applyFont="1" applyFill="1" applyBorder="1" applyAlignment="1">
      <alignment horizontal="left" vertical="center" wrapText="1"/>
      <protection/>
    </xf>
    <xf numFmtId="4" fontId="19" fillId="0" borderId="10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4" fontId="77" fillId="0" borderId="14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 wrapText="1"/>
    </xf>
    <xf numFmtId="4" fontId="19" fillId="0" borderId="24" xfId="0" applyNumberFormat="1" applyFont="1" applyFill="1" applyBorder="1" applyAlignment="1">
      <alignment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5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horizontal="right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53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53" fillId="0" borderId="20" xfId="0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vertical="center" wrapText="1"/>
    </xf>
    <xf numFmtId="4" fontId="52" fillId="0" borderId="11" xfId="0" applyNumberFormat="1" applyFont="1" applyFill="1" applyBorder="1" applyAlignment="1">
      <alignment horizontal="right" vertical="center"/>
    </xf>
    <xf numFmtId="4" fontId="52" fillId="0" borderId="1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wrapText="1"/>
    </xf>
    <xf numFmtId="4" fontId="11" fillId="0" borderId="0" xfId="0" applyNumberFormat="1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wrapText="1"/>
    </xf>
    <xf numFmtId="4" fontId="15" fillId="0" borderId="18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left" vertical="center" wrapText="1"/>
    </xf>
    <xf numFmtId="4" fontId="53" fillId="0" borderId="18" xfId="0" applyNumberFormat="1" applyFont="1" applyFill="1" applyBorder="1" applyAlignment="1">
      <alignment horizontal="right" vertical="center"/>
    </xf>
    <xf numFmtId="0" fontId="7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4" fontId="49" fillId="0" borderId="11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70" fillId="0" borderId="0" xfId="0" applyFont="1" applyFill="1" applyAlignment="1">
      <alignment/>
    </xf>
    <xf numFmtId="4" fontId="71" fillId="0" borderId="0" xfId="0" applyNumberFormat="1" applyFont="1" applyFill="1" applyAlignment="1">
      <alignment/>
    </xf>
    <xf numFmtId="4" fontId="72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 horizontal="right" vertical="center"/>
    </xf>
    <xf numFmtId="4" fontId="7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wrapText="1"/>
    </xf>
    <xf numFmtId="0" fontId="70" fillId="0" borderId="18" xfId="0" applyFont="1" applyFill="1" applyBorder="1" applyAlignment="1">
      <alignment horizontal="center"/>
    </xf>
    <xf numFmtId="0" fontId="70" fillId="0" borderId="18" xfId="0" applyFont="1" applyFill="1" applyBorder="1" applyAlignment="1">
      <alignment wrapText="1"/>
    </xf>
    <xf numFmtId="4" fontId="74" fillId="0" borderId="24" xfId="0" applyNumberFormat="1" applyFont="1" applyFill="1" applyBorder="1" applyAlignment="1">
      <alignment horizontal="right" vertical="center"/>
    </xf>
    <xf numFmtId="4" fontId="70" fillId="0" borderId="13" xfId="0" applyNumberFormat="1" applyFont="1" applyFill="1" applyBorder="1" applyAlignment="1">
      <alignment horizontal="left" vertical="center"/>
    </xf>
    <xf numFmtId="4" fontId="74" fillId="0" borderId="16" xfId="0" applyNumberFormat="1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4" fontId="70" fillId="0" borderId="14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left" vertical="center" wrapText="1"/>
    </xf>
    <xf numFmtId="4" fontId="70" fillId="0" borderId="10" xfId="0" applyNumberFormat="1" applyFont="1" applyFill="1" applyBorder="1" applyAlignment="1">
      <alignment horizontal="left" vertical="center" wrapText="1"/>
    </xf>
    <xf numFmtId="4" fontId="70" fillId="0" borderId="0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vertical="center" wrapText="1"/>
    </xf>
    <xf numFmtId="3" fontId="76" fillId="0" borderId="0" xfId="0" applyNumberFormat="1" applyFont="1" applyFill="1" applyBorder="1" applyAlignment="1">
      <alignment vertical="center" wrapText="1"/>
    </xf>
    <xf numFmtId="0" fontId="76" fillId="0" borderId="18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 wrapText="1"/>
    </xf>
    <xf numFmtId="4" fontId="76" fillId="0" borderId="11" xfId="0" applyNumberFormat="1" applyFont="1" applyFill="1" applyBorder="1" applyAlignment="1">
      <alignment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left" vertical="center" wrapText="1"/>
    </xf>
    <xf numFmtId="4" fontId="83" fillId="0" borderId="11" xfId="0" applyNumberFormat="1" applyFont="1" applyFill="1" applyBorder="1" applyAlignment="1">
      <alignment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 wrapText="1"/>
    </xf>
    <xf numFmtId="4" fontId="69" fillId="0" borderId="11" xfId="0" applyNumberFormat="1" applyFont="1" applyFill="1" applyBorder="1" applyAlignment="1">
      <alignment vertical="center"/>
    </xf>
    <xf numFmtId="4" fontId="69" fillId="0" borderId="10" xfId="0" applyNumberFormat="1" applyFont="1" applyFill="1" applyBorder="1" applyAlignment="1">
      <alignment vertical="center" wrapText="1"/>
    </xf>
    <xf numFmtId="0" fontId="83" fillId="0" borderId="15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left" vertical="center" wrapText="1"/>
    </xf>
    <xf numFmtId="4" fontId="83" fillId="0" borderId="11" xfId="0" applyNumberFormat="1" applyFont="1" applyFill="1" applyBorder="1" applyAlignment="1">
      <alignment vertical="center"/>
    </xf>
    <xf numFmtId="3" fontId="76" fillId="0" borderId="0" xfId="0" applyNumberFormat="1" applyFont="1" applyFill="1" applyBorder="1" applyAlignment="1">
      <alignment vertical="center"/>
    </xf>
    <xf numFmtId="4" fontId="66" fillId="0" borderId="0" xfId="0" applyNumberFormat="1" applyFont="1" applyFill="1" applyAlignment="1">
      <alignment/>
    </xf>
    <xf numFmtId="3" fontId="83" fillId="0" borderId="0" xfId="0" applyNumberFormat="1" applyFont="1" applyFill="1" applyBorder="1" applyAlignment="1">
      <alignment vertical="center"/>
    </xf>
    <xf numFmtId="0" fontId="67" fillId="0" borderId="0" xfId="0" applyFont="1" applyFill="1" applyAlignment="1">
      <alignment/>
    </xf>
    <xf numFmtId="4" fontId="70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0" fontId="67" fillId="0" borderId="15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3" fontId="69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66" fillId="0" borderId="2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vertical="center" wrapText="1"/>
    </xf>
    <xf numFmtId="0" fontId="67" fillId="0" borderId="18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vertical="center" wrapText="1"/>
    </xf>
    <xf numFmtId="0" fontId="70" fillId="0" borderId="15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vertical="center" wrapText="1"/>
    </xf>
    <xf numFmtId="3" fontId="74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vertical="center" wrapText="1"/>
    </xf>
    <xf numFmtId="0" fontId="67" fillId="0" borderId="20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4" fontId="15" fillId="0" borderId="24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4" fontId="2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5" fillId="0" borderId="24" xfId="0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right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86" fillId="0" borderId="0" xfId="0" applyFont="1" applyFill="1" applyAlignment="1">
      <alignment/>
    </xf>
    <xf numFmtId="0" fontId="13" fillId="0" borderId="23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4" fontId="86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vertical="center"/>
    </xf>
    <xf numFmtId="4" fontId="87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88" fillId="0" borderId="0" xfId="0" applyFont="1" applyFill="1" applyAlignment="1">
      <alignment/>
    </xf>
    <xf numFmtId="0" fontId="12" fillId="0" borderId="12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 wrapText="1"/>
    </xf>
    <xf numFmtId="4" fontId="12" fillId="0" borderId="23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 wrapText="1"/>
    </xf>
    <xf numFmtId="0" fontId="10" fillId="0" borderId="11" xfId="52" applyFont="1" applyFill="1" applyBorder="1" applyAlignment="1">
      <alignment vertical="center" wrapText="1"/>
      <protection/>
    </xf>
    <xf numFmtId="4" fontId="10" fillId="0" borderId="16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4" fontId="10" fillId="0" borderId="23" xfId="0" applyNumberFormat="1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4" fontId="10" fillId="0" borderId="12" xfId="52" applyNumberFormat="1" applyFont="1" applyFill="1" applyBorder="1" applyAlignment="1">
      <alignment vertical="center"/>
      <protection/>
    </xf>
    <xf numFmtId="4" fontId="10" fillId="0" borderId="11" xfId="52" applyNumberFormat="1" applyFont="1" applyFill="1" applyBorder="1" applyAlignment="1">
      <alignment vertical="center"/>
      <protection/>
    </xf>
    <xf numFmtId="0" fontId="10" fillId="0" borderId="12" xfId="52" applyFont="1" applyFill="1" applyBorder="1" applyAlignment="1">
      <alignment vertical="center" wrapText="1"/>
      <protection/>
    </xf>
    <xf numFmtId="0" fontId="10" fillId="0" borderId="18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12" xfId="52" applyFont="1" applyFill="1" applyBorder="1" applyAlignment="1">
      <alignment vertical="center" wrapText="1"/>
      <protection/>
    </xf>
    <xf numFmtId="4" fontId="12" fillId="0" borderId="12" xfId="52" applyNumberFormat="1" applyFont="1" applyFill="1" applyBorder="1" applyAlignment="1">
      <alignment vertical="center" wrapText="1"/>
      <protection/>
    </xf>
    <xf numFmtId="4" fontId="12" fillId="0" borderId="11" xfId="52" applyNumberFormat="1" applyFont="1" applyFill="1" applyBorder="1" applyAlignment="1">
      <alignment vertical="center" wrapText="1"/>
      <protection/>
    </xf>
    <xf numFmtId="0" fontId="64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 wrapText="1"/>
      <protection/>
    </xf>
    <xf numFmtId="4" fontId="6" fillId="0" borderId="11" xfId="52" applyNumberFormat="1" applyFont="1" applyFill="1" applyBorder="1" applyAlignment="1">
      <alignment vertical="center" wrapText="1"/>
      <protection/>
    </xf>
    <xf numFmtId="0" fontId="89" fillId="0" borderId="0" xfId="0" applyFont="1" applyFill="1" applyAlignment="1">
      <alignment/>
    </xf>
    <xf numFmtId="0" fontId="10" fillId="0" borderId="23" xfId="0" applyFont="1" applyFill="1" applyBorder="1" applyAlignment="1">
      <alignment horizontal="center" vertical="center"/>
    </xf>
    <xf numFmtId="4" fontId="10" fillId="0" borderId="12" xfId="52" applyNumberFormat="1" applyFont="1" applyFill="1" applyBorder="1" applyAlignment="1">
      <alignment vertical="center" wrapText="1"/>
      <protection/>
    </xf>
    <xf numFmtId="4" fontId="10" fillId="0" borderId="11" xfId="52" applyNumberFormat="1" applyFont="1" applyFill="1" applyBorder="1" applyAlignment="1">
      <alignment vertical="center" wrapText="1"/>
      <protection/>
    </xf>
    <xf numFmtId="0" fontId="15" fillId="0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2" fontId="10" fillId="0" borderId="11" xfId="52" applyNumberFormat="1" applyFont="1" applyFill="1" applyBorder="1" applyAlignment="1">
      <alignment vertical="center" wrapText="1"/>
      <protection/>
    </xf>
    <xf numFmtId="0" fontId="12" fillId="0" borderId="11" xfId="52" applyFont="1" applyFill="1" applyBorder="1" applyAlignment="1">
      <alignment vertical="center" wrapText="1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9" fillId="0" borderId="0" xfId="0" applyFont="1" applyFill="1" applyAlignment="1">
      <alignment vertical="center"/>
    </xf>
    <xf numFmtId="4" fontId="90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4" fontId="44" fillId="0" borderId="0" xfId="0" applyNumberFormat="1" applyFont="1" applyFill="1" applyAlignment="1">
      <alignment/>
    </xf>
    <xf numFmtId="4" fontId="91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0" fontId="13" fillId="0" borderId="2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75" fillId="0" borderId="12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8" fillId="0" borderId="13" xfId="0" applyFont="1" applyFill="1" applyBorder="1" applyAlignment="1">
      <alignment horizontal="left" vertical="center"/>
    </xf>
    <xf numFmtId="0" fontId="68" fillId="0" borderId="16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7" xfId="54"/>
    <cellStyle name="Normalny_tabela nr 8" xfId="55"/>
    <cellStyle name="Normalny_Zał. nr 3A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6"/>
  <sheetViews>
    <sheetView tabSelected="1" zoomScale="150" zoomScaleNormal="150" workbookViewId="0" topLeftCell="A1">
      <selection activeCell="G201" sqref="G201"/>
    </sheetView>
  </sheetViews>
  <sheetFormatPr defaultColWidth="9.140625" defaultRowHeight="12.75"/>
  <cols>
    <col min="1" max="1" width="3.8515625" style="133" customWidth="1"/>
    <col min="2" max="2" width="5.8515625" style="84" customWidth="1"/>
    <col min="3" max="3" width="4.57421875" style="133" customWidth="1"/>
    <col min="4" max="4" width="30.28125" style="56" customWidth="1"/>
    <col min="5" max="5" width="13.00390625" style="50" customWidth="1"/>
    <col min="6" max="6" width="12.57421875" style="50" customWidth="1"/>
    <col min="7" max="7" width="13.28125" style="50" customWidth="1"/>
    <col min="8" max="8" width="12.140625" style="50" customWidth="1"/>
    <col min="9" max="9" width="5.8515625" style="152" customWidth="1"/>
    <col min="10" max="10" width="13.57421875" style="37" customWidth="1"/>
    <col min="11" max="16384" width="9.140625" style="37" customWidth="1"/>
  </cols>
  <sheetData>
    <row r="1" spans="5:8" ht="18" customHeight="1">
      <c r="E1" s="164"/>
      <c r="F1" s="211" t="s">
        <v>200</v>
      </c>
      <c r="G1" s="164"/>
      <c r="H1" s="40"/>
    </row>
    <row r="2" spans="5:8" ht="18" customHeight="1">
      <c r="E2" s="164"/>
      <c r="F2" s="256" t="s">
        <v>201</v>
      </c>
      <c r="G2" s="164"/>
      <c r="H2" s="40"/>
    </row>
    <row r="3" spans="5:8" ht="18" customHeight="1">
      <c r="E3" s="276"/>
      <c r="F3" s="256" t="s">
        <v>202</v>
      </c>
      <c r="G3" s="164"/>
      <c r="H3" s="40"/>
    </row>
    <row r="4" spans="5:8" ht="16.5" customHeight="1">
      <c r="E4" s="164"/>
      <c r="F4" s="256" t="s">
        <v>203</v>
      </c>
      <c r="G4" s="164"/>
      <c r="H4" s="40"/>
    </row>
    <row r="5" spans="5:8" ht="16.5" customHeight="1">
      <c r="E5" s="164"/>
      <c r="F5" s="256"/>
      <c r="G5" s="164"/>
      <c r="H5" s="40"/>
    </row>
    <row r="7" spans="2:4" ht="18.75">
      <c r="B7" s="113" t="s">
        <v>204</v>
      </c>
      <c r="C7" s="134"/>
      <c r="D7" s="189"/>
    </row>
    <row r="8" spans="2:4" ht="18.75">
      <c r="B8" s="113"/>
      <c r="C8" s="134"/>
      <c r="D8" s="189"/>
    </row>
    <row r="9" spans="1:8" ht="12.75">
      <c r="A9" s="135"/>
      <c r="B9" s="115"/>
      <c r="C9" s="135"/>
      <c r="D9" s="167"/>
      <c r="F9" s="219" t="s">
        <v>308</v>
      </c>
      <c r="H9" s="219" t="s">
        <v>308</v>
      </c>
    </row>
    <row r="10" spans="1:9" ht="27" customHeight="1">
      <c r="A10" s="972" t="s">
        <v>309</v>
      </c>
      <c r="B10" s="975" t="s">
        <v>310</v>
      </c>
      <c r="C10" s="972" t="s">
        <v>435</v>
      </c>
      <c r="D10" s="978" t="s">
        <v>436</v>
      </c>
      <c r="E10" s="981" t="s">
        <v>196</v>
      </c>
      <c r="F10" s="982"/>
      <c r="G10" s="970" t="s">
        <v>199</v>
      </c>
      <c r="H10" s="971"/>
      <c r="I10" s="255"/>
    </row>
    <row r="11" spans="1:9" ht="13.5" customHeight="1">
      <c r="A11" s="973"/>
      <c r="B11" s="976"/>
      <c r="C11" s="973"/>
      <c r="D11" s="979"/>
      <c r="E11" s="116" t="s">
        <v>307</v>
      </c>
      <c r="F11" s="228" t="s">
        <v>280</v>
      </c>
      <c r="G11" s="116" t="s">
        <v>307</v>
      </c>
      <c r="H11" s="279" t="s">
        <v>280</v>
      </c>
      <c r="I11" s="80" t="s">
        <v>142</v>
      </c>
    </row>
    <row r="12" spans="1:9" ht="36" customHeight="1">
      <c r="A12" s="974"/>
      <c r="B12" s="977"/>
      <c r="C12" s="974"/>
      <c r="D12" s="980"/>
      <c r="E12" s="218" t="s">
        <v>437</v>
      </c>
      <c r="F12" s="232" t="s">
        <v>438</v>
      </c>
      <c r="G12" s="218" t="s">
        <v>437</v>
      </c>
      <c r="H12" s="280" t="s">
        <v>438</v>
      </c>
      <c r="I12" s="85" t="s">
        <v>195</v>
      </c>
    </row>
    <row r="13" spans="1:9" ht="23.25" customHeight="1">
      <c r="A13" s="178" t="s">
        <v>465</v>
      </c>
      <c r="B13" s="4"/>
      <c r="C13" s="137"/>
      <c r="D13" s="191"/>
      <c r="E13" s="41"/>
      <c r="F13" s="41"/>
      <c r="G13" s="41"/>
      <c r="H13" s="41"/>
      <c r="I13" s="360"/>
    </row>
    <row r="14" spans="1:9" s="54" customFormat="1" ht="23.25" customHeight="1">
      <c r="A14" s="308" t="s">
        <v>185</v>
      </c>
      <c r="B14" s="309"/>
      <c r="C14" s="310"/>
      <c r="D14" s="311" t="s">
        <v>433</v>
      </c>
      <c r="E14" s="312">
        <f aca="true" t="shared" si="0" ref="E14:H15">E15</f>
        <v>80838.7</v>
      </c>
      <c r="F14" s="312">
        <f t="shared" si="0"/>
        <v>80838.7</v>
      </c>
      <c r="G14" s="312">
        <f t="shared" si="0"/>
        <v>0</v>
      </c>
      <c r="H14" s="313">
        <f t="shared" si="0"/>
        <v>0</v>
      </c>
      <c r="I14" s="314"/>
    </row>
    <row r="15" spans="1:9" s="53" customFormat="1" ht="18" customHeight="1">
      <c r="A15" s="315"/>
      <c r="B15" s="316" t="s">
        <v>186</v>
      </c>
      <c r="C15" s="317"/>
      <c r="D15" s="318" t="s">
        <v>343</v>
      </c>
      <c r="E15" s="319">
        <f t="shared" si="0"/>
        <v>80838.7</v>
      </c>
      <c r="F15" s="319">
        <f t="shared" si="0"/>
        <v>80838.7</v>
      </c>
      <c r="G15" s="319">
        <f t="shared" si="0"/>
        <v>0</v>
      </c>
      <c r="H15" s="320">
        <f t="shared" si="0"/>
        <v>0</v>
      </c>
      <c r="I15" s="321"/>
    </row>
    <row r="16" spans="1:9" ht="55.5" customHeight="1">
      <c r="A16" s="322"/>
      <c r="B16" s="323"/>
      <c r="C16" s="324">
        <v>2010</v>
      </c>
      <c r="D16" s="325" t="s">
        <v>335</v>
      </c>
      <c r="E16" s="326">
        <v>80838.7</v>
      </c>
      <c r="F16" s="326">
        <v>80838.7</v>
      </c>
      <c r="G16" s="326"/>
      <c r="H16" s="327"/>
      <c r="I16" s="321"/>
    </row>
    <row r="17" spans="1:9" ht="19.5" customHeight="1">
      <c r="A17" s="140">
        <v>600</v>
      </c>
      <c r="B17" s="6"/>
      <c r="C17" s="140"/>
      <c r="D17" s="192" t="s">
        <v>311</v>
      </c>
      <c r="E17" s="125">
        <f>E18+E21+E23</f>
        <v>3411867.63</v>
      </c>
      <c r="F17" s="220"/>
      <c r="G17" s="125">
        <f>G18+G21+G23</f>
        <v>1335645.98</v>
      </c>
      <c r="H17" s="220"/>
      <c r="I17" s="361">
        <f>G17/E17*100</f>
        <v>39.14706327572269</v>
      </c>
    </row>
    <row r="18" spans="1:9" s="53" customFormat="1" ht="22.5" customHeight="1">
      <c r="A18" s="181"/>
      <c r="B18" s="23">
        <v>60004</v>
      </c>
      <c r="C18" s="138"/>
      <c r="D18" s="193" t="s">
        <v>313</v>
      </c>
      <c r="E18" s="234">
        <f>SUM(E19:E20)</f>
        <v>1277463.63</v>
      </c>
      <c r="F18" s="166"/>
      <c r="G18" s="234">
        <f>SUM(G19:G20)</f>
        <v>1273645.98</v>
      </c>
      <c r="H18" s="166"/>
      <c r="I18" s="268">
        <f aca="true" t="shared" si="1" ref="I18:I97">G18/E18*100</f>
        <v>99.70115391856596</v>
      </c>
    </row>
    <row r="19" spans="1:9" s="53" customFormat="1" ht="22.5" customHeight="1">
      <c r="A19" s="181"/>
      <c r="B19" s="29"/>
      <c r="C19" s="139" t="s">
        <v>334</v>
      </c>
      <c r="D19" s="163" t="s">
        <v>379</v>
      </c>
      <c r="E19" s="272">
        <v>80</v>
      </c>
      <c r="F19" s="126"/>
      <c r="G19" s="272"/>
      <c r="H19" s="225"/>
      <c r="I19" s="268"/>
    </row>
    <row r="20" spans="1:10" ht="51" customHeight="1">
      <c r="A20" s="182"/>
      <c r="B20" s="9"/>
      <c r="C20" s="139">
        <v>2310</v>
      </c>
      <c r="D20" s="163" t="s">
        <v>125</v>
      </c>
      <c r="E20" s="26">
        <v>1277383.63</v>
      </c>
      <c r="F20" s="126"/>
      <c r="G20" s="26">
        <v>1273645.98</v>
      </c>
      <c r="H20" s="126"/>
      <c r="I20" s="268">
        <f t="shared" si="1"/>
        <v>99.70739800384008</v>
      </c>
      <c r="J20" s="50"/>
    </row>
    <row r="21" spans="1:10" s="53" customFormat="1" ht="24" customHeight="1">
      <c r="A21" s="181"/>
      <c r="B21" s="24">
        <v>60016</v>
      </c>
      <c r="C21" s="142"/>
      <c r="D21" s="174" t="s">
        <v>448</v>
      </c>
      <c r="E21" s="28">
        <f>E22</f>
        <v>2074404</v>
      </c>
      <c r="F21" s="225"/>
      <c r="G21" s="28">
        <f>G22</f>
        <v>0</v>
      </c>
      <c r="H21" s="225"/>
      <c r="I21" s="377"/>
      <c r="J21" s="356"/>
    </row>
    <row r="22" spans="1:10" ht="42" customHeight="1">
      <c r="A22" s="182"/>
      <c r="B22" s="9"/>
      <c r="C22" s="136" t="s">
        <v>225</v>
      </c>
      <c r="D22" s="163" t="s">
        <v>401</v>
      </c>
      <c r="E22" s="26">
        <v>2074404</v>
      </c>
      <c r="F22" s="126"/>
      <c r="G22" s="26"/>
      <c r="H22" s="126"/>
      <c r="I22" s="268"/>
      <c r="J22" s="50"/>
    </row>
    <row r="23" spans="1:9" s="53" customFormat="1" ht="18.75" customHeight="1">
      <c r="A23" s="181"/>
      <c r="B23" s="24">
        <v>60095</v>
      </c>
      <c r="C23" s="142"/>
      <c r="D23" s="193" t="s">
        <v>343</v>
      </c>
      <c r="E23" s="28">
        <f>SUM(E24:E24)</f>
        <v>60000</v>
      </c>
      <c r="F23" s="225"/>
      <c r="G23" s="28">
        <f>SUM(G24:G24)</f>
        <v>62000</v>
      </c>
      <c r="H23" s="225"/>
      <c r="I23" s="268">
        <f t="shared" si="1"/>
        <v>103.33333333333334</v>
      </c>
    </row>
    <row r="24" spans="1:9" ht="18.75" customHeight="1">
      <c r="A24" s="182"/>
      <c r="B24" s="9"/>
      <c r="C24" s="136" t="s">
        <v>318</v>
      </c>
      <c r="D24" s="163" t="s">
        <v>299</v>
      </c>
      <c r="E24" s="26">
        <v>60000</v>
      </c>
      <c r="F24" s="126"/>
      <c r="G24" s="26">
        <v>62000</v>
      </c>
      <c r="H24" s="126"/>
      <c r="I24" s="268">
        <f t="shared" si="1"/>
        <v>103.33333333333334</v>
      </c>
    </row>
    <row r="25" spans="1:9" ht="20.25" customHeight="1">
      <c r="A25" s="130">
        <v>700</v>
      </c>
      <c r="B25" s="11"/>
      <c r="C25" s="130"/>
      <c r="D25" s="170" t="s">
        <v>372</v>
      </c>
      <c r="E25" s="83">
        <f>E26+E36</f>
        <v>17698500</v>
      </c>
      <c r="F25" s="126"/>
      <c r="G25" s="83">
        <f>G26+G36</f>
        <v>17258500</v>
      </c>
      <c r="H25" s="126"/>
      <c r="I25" s="361">
        <f t="shared" si="1"/>
        <v>97.51391360849789</v>
      </c>
    </row>
    <row r="26" spans="1:9" s="53" customFormat="1" ht="25.5" customHeight="1">
      <c r="A26" s="181"/>
      <c r="B26" s="23">
        <v>70005</v>
      </c>
      <c r="C26" s="138"/>
      <c r="D26" s="193" t="s">
        <v>342</v>
      </c>
      <c r="E26" s="28">
        <f>SUM(E27:E35)</f>
        <v>17647000</v>
      </c>
      <c r="F26" s="225"/>
      <c r="G26" s="28">
        <f>SUM(G27:G35)</f>
        <v>17207000</v>
      </c>
      <c r="H26" s="225"/>
      <c r="I26" s="268">
        <f t="shared" si="1"/>
        <v>97.50665835552785</v>
      </c>
    </row>
    <row r="27" spans="1:9" ht="27.75" customHeight="1">
      <c r="A27" s="182"/>
      <c r="B27" s="9"/>
      <c r="C27" s="139" t="s">
        <v>472</v>
      </c>
      <c r="D27" s="163" t="s">
        <v>380</v>
      </c>
      <c r="E27" s="26">
        <v>1680000</v>
      </c>
      <c r="F27" s="126"/>
      <c r="G27" s="26">
        <f>1700000-1650000</f>
        <v>50000</v>
      </c>
      <c r="H27" s="126"/>
      <c r="I27" s="268">
        <f t="shared" si="1"/>
        <v>2.976190476190476</v>
      </c>
    </row>
    <row r="28" spans="1:9" ht="26.25" customHeight="1">
      <c r="A28" s="182"/>
      <c r="B28" s="9"/>
      <c r="C28" s="139" t="s">
        <v>355</v>
      </c>
      <c r="D28" s="163" t="s">
        <v>381</v>
      </c>
      <c r="E28" s="26"/>
      <c r="F28" s="126"/>
      <c r="G28" s="26">
        <v>1680000</v>
      </c>
      <c r="H28" s="126"/>
      <c r="I28" s="268"/>
    </row>
    <row r="29" spans="1:9" ht="26.25" customHeight="1">
      <c r="A29" s="182"/>
      <c r="B29" s="9"/>
      <c r="C29" s="139" t="s">
        <v>337</v>
      </c>
      <c r="D29" s="163" t="s">
        <v>382</v>
      </c>
      <c r="E29" s="26">
        <v>7000</v>
      </c>
      <c r="F29" s="126"/>
      <c r="G29" s="26"/>
      <c r="H29" s="126"/>
      <c r="I29" s="268"/>
    </row>
    <row r="30" spans="1:9" ht="21" customHeight="1">
      <c r="A30" s="182"/>
      <c r="B30" s="9"/>
      <c r="C30" s="139" t="s">
        <v>467</v>
      </c>
      <c r="D30" s="163" t="s">
        <v>468</v>
      </c>
      <c r="E30" s="26">
        <f>50000+135000</f>
        <v>185000</v>
      </c>
      <c r="F30" s="126"/>
      <c r="G30" s="26">
        <f>138000+20000</f>
        <v>158000</v>
      </c>
      <c r="H30" s="126"/>
      <c r="I30" s="268">
        <f t="shared" si="1"/>
        <v>85.4054054054054</v>
      </c>
    </row>
    <row r="31" spans="1:9" ht="67.5" customHeight="1">
      <c r="A31" s="182"/>
      <c r="B31" s="9"/>
      <c r="C31" s="139" t="s">
        <v>473</v>
      </c>
      <c r="D31" s="163" t="s">
        <v>383</v>
      </c>
      <c r="E31" s="26">
        <v>10700000</v>
      </c>
      <c r="F31" s="126"/>
      <c r="G31" s="26">
        <f>10199900+820000</f>
        <v>11019900</v>
      </c>
      <c r="H31" s="126"/>
      <c r="I31" s="268">
        <f t="shared" si="1"/>
        <v>102.98971962616822</v>
      </c>
    </row>
    <row r="32" spans="1:9" ht="36" customHeight="1">
      <c r="A32" s="182"/>
      <c r="B32" s="9"/>
      <c r="C32" s="139" t="s">
        <v>314</v>
      </c>
      <c r="D32" s="163" t="s">
        <v>315</v>
      </c>
      <c r="E32" s="26">
        <v>175000</v>
      </c>
      <c r="F32" s="126"/>
      <c r="G32" s="26">
        <v>100000</v>
      </c>
      <c r="H32" s="126"/>
      <c r="I32" s="268">
        <f t="shared" si="1"/>
        <v>57.14285714285714</v>
      </c>
    </row>
    <row r="33" spans="1:9" ht="38.25" customHeight="1">
      <c r="A33" s="182"/>
      <c r="B33" s="9"/>
      <c r="C33" s="139" t="s">
        <v>316</v>
      </c>
      <c r="D33" s="163" t="s">
        <v>317</v>
      </c>
      <c r="E33" s="26">
        <v>3980000</v>
      </c>
      <c r="F33" s="126"/>
      <c r="G33" s="26">
        <f>300000+3175000+100000</f>
        <v>3575000</v>
      </c>
      <c r="H33" s="126"/>
      <c r="I33" s="268">
        <f t="shared" si="1"/>
        <v>89.82412060301507</v>
      </c>
    </row>
    <row r="34" spans="1:9" ht="18" customHeight="1">
      <c r="A34" s="182"/>
      <c r="B34" s="9"/>
      <c r="C34" s="139" t="s">
        <v>334</v>
      </c>
      <c r="D34" s="163" t="s">
        <v>379</v>
      </c>
      <c r="E34" s="26">
        <v>250000</v>
      </c>
      <c r="F34" s="126"/>
      <c r="G34" s="26">
        <f>216600+43000</f>
        <v>259600</v>
      </c>
      <c r="H34" s="126"/>
      <c r="I34" s="268">
        <f t="shared" si="1"/>
        <v>103.84</v>
      </c>
    </row>
    <row r="35" spans="1:9" ht="21" customHeight="1">
      <c r="A35" s="182"/>
      <c r="B35" s="9"/>
      <c r="C35" s="139" t="s">
        <v>318</v>
      </c>
      <c r="D35" s="163" t="s">
        <v>299</v>
      </c>
      <c r="E35" s="26">
        <v>670000</v>
      </c>
      <c r="F35" s="126"/>
      <c r="G35" s="26">
        <f>344500+20000</f>
        <v>364500</v>
      </c>
      <c r="H35" s="126"/>
      <c r="I35" s="268">
        <f t="shared" si="1"/>
        <v>54.40298507462686</v>
      </c>
    </row>
    <row r="36" spans="1:9" s="53" customFormat="1" ht="24.75" customHeight="1">
      <c r="A36" s="181"/>
      <c r="B36" s="24">
        <v>70095</v>
      </c>
      <c r="C36" s="138"/>
      <c r="D36" s="193" t="s">
        <v>343</v>
      </c>
      <c r="E36" s="28">
        <f>SUM(E37:E39)</f>
        <v>51500</v>
      </c>
      <c r="F36" s="225"/>
      <c r="G36" s="28">
        <f>SUM(G37:G39)</f>
        <v>51500</v>
      </c>
      <c r="H36" s="225"/>
      <c r="I36" s="268">
        <f t="shared" si="1"/>
        <v>100</v>
      </c>
    </row>
    <row r="37" spans="1:9" s="53" customFormat="1" ht="21" customHeight="1">
      <c r="A37" s="181"/>
      <c r="B37" s="29"/>
      <c r="C37" s="139" t="s">
        <v>467</v>
      </c>
      <c r="D37" s="163" t="s">
        <v>468</v>
      </c>
      <c r="E37" s="26">
        <v>31000</v>
      </c>
      <c r="F37" s="225"/>
      <c r="G37" s="26">
        <v>31000</v>
      </c>
      <c r="H37" s="225"/>
      <c r="I37" s="268">
        <f t="shared" si="1"/>
        <v>100</v>
      </c>
    </row>
    <row r="38" spans="1:9" s="53" customFormat="1" ht="20.25" customHeight="1">
      <c r="A38" s="181"/>
      <c r="B38" s="29"/>
      <c r="C38" s="139" t="s">
        <v>334</v>
      </c>
      <c r="D38" s="163" t="s">
        <v>379</v>
      </c>
      <c r="E38" s="26">
        <v>5500</v>
      </c>
      <c r="F38" s="225"/>
      <c r="G38" s="26">
        <v>5500</v>
      </c>
      <c r="H38" s="225"/>
      <c r="I38" s="268">
        <f t="shared" si="1"/>
        <v>100</v>
      </c>
    </row>
    <row r="39" spans="1:9" s="53" customFormat="1" ht="17.25" customHeight="1">
      <c r="A39" s="181"/>
      <c r="B39" s="29"/>
      <c r="C39" s="136" t="s">
        <v>318</v>
      </c>
      <c r="D39" s="163" t="s">
        <v>299</v>
      </c>
      <c r="E39" s="26">
        <v>15000</v>
      </c>
      <c r="F39" s="120"/>
      <c r="G39" s="26">
        <v>15000</v>
      </c>
      <c r="H39" s="120"/>
      <c r="I39" s="268">
        <f t="shared" si="1"/>
        <v>100</v>
      </c>
    </row>
    <row r="40" spans="1:10" s="53" customFormat="1" ht="17.25" customHeight="1">
      <c r="A40" s="347">
        <v>710</v>
      </c>
      <c r="B40" s="347"/>
      <c r="C40" s="309"/>
      <c r="D40" s="348" t="s">
        <v>513</v>
      </c>
      <c r="E40" s="312">
        <f>E41</f>
        <v>2450</v>
      </c>
      <c r="F40" s="349"/>
      <c r="G40" s="312">
        <f>G41</f>
        <v>0</v>
      </c>
      <c r="H40" s="350"/>
      <c r="I40" s="321"/>
      <c r="J40" s="159"/>
    </row>
    <row r="41" spans="1:10" s="53" customFormat="1" ht="20.25" customHeight="1">
      <c r="A41" s="340"/>
      <c r="B41" s="351">
        <v>71014</v>
      </c>
      <c r="C41" s="334"/>
      <c r="D41" s="339" t="s">
        <v>515</v>
      </c>
      <c r="E41" s="319">
        <f>E42</f>
        <v>2450</v>
      </c>
      <c r="F41" s="342"/>
      <c r="G41" s="319">
        <f>G42</f>
        <v>0</v>
      </c>
      <c r="H41" s="155"/>
      <c r="I41" s="321"/>
      <c r="J41" s="159"/>
    </row>
    <row r="42" spans="1:10" s="53" customFormat="1" ht="17.25" customHeight="1">
      <c r="A42" s="340"/>
      <c r="B42" s="29"/>
      <c r="C42" s="324" t="s">
        <v>467</v>
      </c>
      <c r="D42" s="325" t="s">
        <v>468</v>
      </c>
      <c r="E42" s="326">
        <v>2450</v>
      </c>
      <c r="F42" s="342"/>
      <c r="G42" s="326"/>
      <c r="H42" s="155"/>
      <c r="I42" s="321"/>
      <c r="J42" s="159"/>
    </row>
    <row r="43" spans="1:9" ht="27" customHeight="1">
      <c r="A43" s="130">
        <v>750</v>
      </c>
      <c r="B43" s="11"/>
      <c r="C43" s="130"/>
      <c r="D43" s="170" t="s">
        <v>344</v>
      </c>
      <c r="E43" s="33">
        <f>E44+E47</f>
        <v>1851074</v>
      </c>
      <c r="F43" s="125">
        <f>F44+F47</f>
        <v>839554</v>
      </c>
      <c r="G43" s="33">
        <f>G44+G47</f>
        <v>1606406</v>
      </c>
      <c r="H43" s="125">
        <f>H44+H47</f>
        <v>594006</v>
      </c>
      <c r="I43" s="361">
        <f t="shared" si="1"/>
        <v>86.78237606924412</v>
      </c>
    </row>
    <row r="44" spans="1:9" s="53" customFormat="1" ht="21" customHeight="1">
      <c r="A44" s="181"/>
      <c r="B44" s="24">
        <v>75011</v>
      </c>
      <c r="C44" s="138"/>
      <c r="D44" s="193" t="s">
        <v>466</v>
      </c>
      <c r="E44" s="90">
        <f>SUM(E45:E46)</f>
        <v>839674</v>
      </c>
      <c r="F44" s="90">
        <f>SUM(F45:F46)</f>
        <v>839554</v>
      </c>
      <c r="G44" s="90">
        <f>SUM(G45:G46)</f>
        <v>594006</v>
      </c>
      <c r="H44" s="90">
        <f>SUM(H45:H46)</f>
        <v>594006</v>
      </c>
      <c r="I44" s="268">
        <f t="shared" si="1"/>
        <v>70.74245480984287</v>
      </c>
    </row>
    <row r="45" spans="1:9" ht="47.25" customHeight="1">
      <c r="A45" s="182"/>
      <c r="B45" s="9"/>
      <c r="C45" s="139">
        <v>2010</v>
      </c>
      <c r="D45" s="169" t="s">
        <v>335</v>
      </c>
      <c r="E45" s="52">
        <v>839554</v>
      </c>
      <c r="F45" s="52">
        <v>839554</v>
      </c>
      <c r="G45" s="52">
        <v>594006</v>
      </c>
      <c r="H45" s="52">
        <v>594006</v>
      </c>
      <c r="I45" s="268">
        <f t="shared" si="1"/>
        <v>70.75256624350547</v>
      </c>
    </row>
    <row r="46" spans="1:9" ht="45.75" customHeight="1">
      <c r="A46" s="182"/>
      <c r="B46" s="9"/>
      <c r="C46" s="139">
        <v>2360</v>
      </c>
      <c r="D46" s="163" t="s">
        <v>336</v>
      </c>
      <c r="E46" s="52">
        <v>120</v>
      </c>
      <c r="F46" s="52"/>
      <c r="G46" s="52"/>
      <c r="H46" s="52"/>
      <c r="I46" s="268"/>
    </row>
    <row r="47" spans="1:9" s="53" customFormat="1" ht="25.5" customHeight="1">
      <c r="A47" s="181"/>
      <c r="B47" s="23">
        <v>75023</v>
      </c>
      <c r="C47" s="138"/>
      <c r="D47" s="174" t="s">
        <v>424</v>
      </c>
      <c r="E47" s="90">
        <f>SUM(E48:E52)</f>
        <v>1011400</v>
      </c>
      <c r="F47" s="90"/>
      <c r="G47" s="90">
        <f>SUM(G48:G52)</f>
        <v>1012400</v>
      </c>
      <c r="H47" s="90"/>
      <c r="I47" s="268">
        <f t="shared" si="1"/>
        <v>100.09887284951553</v>
      </c>
    </row>
    <row r="48" spans="1:9" ht="19.5" customHeight="1">
      <c r="A48" s="182"/>
      <c r="B48" s="9"/>
      <c r="C48" s="139" t="s">
        <v>467</v>
      </c>
      <c r="D48" s="169" t="s">
        <v>468</v>
      </c>
      <c r="E48" s="52">
        <v>55000</v>
      </c>
      <c r="F48" s="126"/>
      <c r="G48" s="52">
        <v>55000</v>
      </c>
      <c r="H48" s="126"/>
      <c r="I48" s="268">
        <f t="shared" si="1"/>
        <v>100</v>
      </c>
    </row>
    <row r="49" spans="1:9" ht="64.5" customHeight="1">
      <c r="A49" s="182"/>
      <c r="B49" s="9"/>
      <c r="C49" s="139" t="s">
        <v>473</v>
      </c>
      <c r="D49" s="169" t="s">
        <v>383</v>
      </c>
      <c r="E49" s="52">
        <v>380000</v>
      </c>
      <c r="F49" s="126"/>
      <c r="G49" s="52">
        <v>381300</v>
      </c>
      <c r="H49" s="126"/>
      <c r="I49" s="268">
        <f t="shared" si="1"/>
        <v>100.3421052631579</v>
      </c>
    </row>
    <row r="50" spans="1:9" ht="21.75" customHeight="1">
      <c r="A50" s="182"/>
      <c r="B50" s="9"/>
      <c r="C50" s="139" t="s">
        <v>470</v>
      </c>
      <c r="D50" s="169" t="s">
        <v>471</v>
      </c>
      <c r="E50" s="52">
        <v>563000</v>
      </c>
      <c r="F50" s="126"/>
      <c r="G50" s="52">
        <v>563100</v>
      </c>
      <c r="H50" s="126"/>
      <c r="I50" s="268">
        <f t="shared" si="1"/>
        <v>100.0177619893428</v>
      </c>
    </row>
    <row r="51" spans="1:9" ht="21.75" customHeight="1">
      <c r="A51" s="182"/>
      <c r="B51" s="9"/>
      <c r="C51" s="139" t="s">
        <v>334</v>
      </c>
      <c r="D51" s="163" t="s">
        <v>379</v>
      </c>
      <c r="E51" s="52">
        <v>900</v>
      </c>
      <c r="F51" s="126"/>
      <c r="G51" s="52">
        <v>500</v>
      </c>
      <c r="H51" s="126"/>
      <c r="I51" s="268">
        <f t="shared" si="1"/>
        <v>55.55555555555556</v>
      </c>
    </row>
    <row r="52" spans="1:9" ht="21.75" customHeight="1">
      <c r="A52" s="182"/>
      <c r="B52" s="9"/>
      <c r="C52" s="139" t="s">
        <v>318</v>
      </c>
      <c r="D52" s="169" t="s">
        <v>319</v>
      </c>
      <c r="E52" s="52">
        <v>12500</v>
      </c>
      <c r="F52" s="126"/>
      <c r="G52" s="52">
        <v>12500</v>
      </c>
      <c r="H52" s="126"/>
      <c r="I52" s="268">
        <f t="shared" si="1"/>
        <v>100</v>
      </c>
    </row>
    <row r="53" spans="1:9" ht="33.75" customHeight="1">
      <c r="A53" s="130">
        <v>751</v>
      </c>
      <c r="B53" s="11"/>
      <c r="C53" s="130"/>
      <c r="D53" s="170" t="s">
        <v>425</v>
      </c>
      <c r="E53" s="64">
        <f>E54+E56+E58+E60</f>
        <v>509865</v>
      </c>
      <c r="F53" s="64">
        <f>F54+F56+F58+F60</f>
        <v>509865</v>
      </c>
      <c r="G53" s="64">
        <f>G54+G56+G58+G60</f>
        <v>15500</v>
      </c>
      <c r="H53" s="64">
        <f>H54+H56+H58+H60</f>
        <v>15500</v>
      </c>
      <c r="I53" s="361">
        <f t="shared" si="1"/>
        <v>3.040020397556216</v>
      </c>
    </row>
    <row r="54" spans="1:9" s="53" customFormat="1" ht="30.75" customHeight="1">
      <c r="A54" s="181"/>
      <c r="B54" s="23">
        <v>75101</v>
      </c>
      <c r="C54" s="138"/>
      <c r="D54" s="193" t="s">
        <v>426</v>
      </c>
      <c r="E54" s="91">
        <f>E55</f>
        <v>13500</v>
      </c>
      <c r="F54" s="223">
        <f>F55</f>
        <v>13500</v>
      </c>
      <c r="G54" s="91">
        <f>G55</f>
        <v>15500</v>
      </c>
      <c r="H54" s="223">
        <f>H55</f>
        <v>15500</v>
      </c>
      <c r="I54" s="268">
        <f t="shared" si="1"/>
        <v>114.81481481481481</v>
      </c>
    </row>
    <row r="55" spans="1:9" ht="56.25" customHeight="1">
      <c r="A55" s="182"/>
      <c r="B55" s="9"/>
      <c r="C55" s="139">
        <v>2010</v>
      </c>
      <c r="D55" s="163" t="s">
        <v>335</v>
      </c>
      <c r="E55" s="52">
        <v>13500</v>
      </c>
      <c r="F55" s="72">
        <v>13500</v>
      </c>
      <c r="G55" s="52">
        <v>15500</v>
      </c>
      <c r="H55" s="72">
        <v>15500</v>
      </c>
      <c r="I55" s="268">
        <f t="shared" si="1"/>
        <v>114.81481481481481</v>
      </c>
    </row>
    <row r="56" spans="1:9" s="53" customFormat="1" ht="29.25" customHeight="1">
      <c r="A56" s="181"/>
      <c r="B56" s="24">
        <v>75107</v>
      </c>
      <c r="C56" s="142"/>
      <c r="D56" s="193" t="s">
        <v>157</v>
      </c>
      <c r="E56" s="28">
        <f>E57</f>
        <v>235020</v>
      </c>
      <c r="F56" s="28">
        <f>F57</f>
        <v>235020</v>
      </c>
      <c r="G56" s="28">
        <f>G57</f>
        <v>0</v>
      </c>
      <c r="H56" s="28">
        <f>H57</f>
        <v>0</v>
      </c>
      <c r="I56" s="268"/>
    </row>
    <row r="57" spans="1:9" ht="51" customHeight="1">
      <c r="A57" s="182"/>
      <c r="B57" s="9"/>
      <c r="C57" s="139">
        <v>2010</v>
      </c>
      <c r="D57" s="163" t="s">
        <v>335</v>
      </c>
      <c r="E57" s="26">
        <v>235020</v>
      </c>
      <c r="F57" s="72">
        <v>235020</v>
      </c>
      <c r="G57" s="26"/>
      <c r="H57" s="72"/>
      <c r="I57" s="268"/>
    </row>
    <row r="58" spans="1:9" s="53" customFormat="1" ht="23.25" customHeight="1">
      <c r="A58" s="181"/>
      <c r="B58" s="24">
        <v>75108</v>
      </c>
      <c r="C58" s="142"/>
      <c r="D58" s="193" t="s">
        <v>158</v>
      </c>
      <c r="E58" s="28">
        <f>E59</f>
        <v>143601</v>
      </c>
      <c r="F58" s="28">
        <f>F59</f>
        <v>143601</v>
      </c>
      <c r="G58" s="28">
        <f>G59</f>
        <v>0</v>
      </c>
      <c r="H58" s="28">
        <f>H59</f>
        <v>0</v>
      </c>
      <c r="I58" s="377"/>
    </row>
    <row r="59" spans="1:9" ht="51" customHeight="1">
      <c r="A59" s="182"/>
      <c r="B59" s="9"/>
      <c r="C59" s="139">
        <v>2010</v>
      </c>
      <c r="D59" s="163" t="s">
        <v>335</v>
      </c>
      <c r="E59" s="26">
        <f>74340+69261</f>
        <v>143601</v>
      </c>
      <c r="F59" s="72">
        <f>74340+69261</f>
        <v>143601</v>
      </c>
      <c r="G59" s="26"/>
      <c r="H59" s="72"/>
      <c r="I59" s="268"/>
    </row>
    <row r="60" spans="1:9" s="53" customFormat="1" ht="24.75" customHeight="1">
      <c r="A60" s="181"/>
      <c r="B60" s="24">
        <v>75110</v>
      </c>
      <c r="C60" s="142"/>
      <c r="D60" s="398" t="s">
        <v>159</v>
      </c>
      <c r="E60" s="28">
        <f>E61</f>
        <v>117744</v>
      </c>
      <c r="F60" s="28">
        <f>F61</f>
        <v>117744</v>
      </c>
      <c r="G60" s="28">
        <f>G61</f>
        <v>0</v>
      </c>
      <c r="H60" s="28">
        <f>H61</f>
        <v>0</v>
      </c>
      <c r="I60" s="377"/>
    </row>
    <row r="61" spans="1:9" ht="51" customHeight="1">
      <c r="A61" s="182"/>
      <c r="B61" s="9"/>
      <c r="C61" s="139">
        <v>2010</v>
      </c>
      <c r="D61" s="163" t="s">
        <v>335</v>
      </c>
      <c r="E61" s="26">
        <v>117744</v>
      </c>
      <c r="F61" s="72">
        <v>117744</v>
      </c>
      <c r="G61" s="26"/>
      <c r="H61" s="72"/>
      <c r="I61" s="268"/>
    </row>
    <row r="62" spans="1:9" ht="25.5" customHeight="1">
      <c r="A62" s="183">
        <v>754</v>
      </c>
      <c r="B62" s="58"/>
      <c r="C62" s="18"/>
      <c r="D62" s="173" t="s">
        <v>345</v>
      </c>
      <c r="E62" s="83">
        <f>E63</f>
        <v>302000</v>
      </c>
      <c r="F62" s="72"/>
      <c r="G62" s="83">
        <f>G63</f>
        <v>151000</v>
      </c>
      <c r="H62" s="72"/>
      <c r="I62" s="361">
        <f t="shared" si="1"/>
        <v>50</v>
      </c>
    </row>
    <row r="63" spans="1:9" s="53" customFormat="1" ht="21.75" customHeight="1">
      <c r="A63" s="181"/>
      <c r="B63" s="94">
        <v>75416</v>
      </c>
      <c r="C63" s="138"/>
      <c r="D63" s="193" t="s">
        <v>458</v>
      </c>
      <c r="E63" s="28">
        <f>E64+E65</f>
        <v>302000</v>
      </c>
      <c r="F63" s="225"/>
      <c r="G63" s="28">
        <f>G64+G65</f>
        <v>151000</v>
      </c>
      <c r="H63" s="225"/>
      <c r="I63" s="268">
        <f t="shared" si="1"/>
        <v>50</v>
      </c>
    </row>
    <row r="64" spans="1:9" ht="29.25" customHeight="1">
      <c r="A64" s="182"/>
      <c r="B64" s="9"/>
      <c r="C64" s="139" t="s">
        <v>337</v>
      </c>
      <c r="D64" s="163" t="s">
        <v>382</v>
      </c>
      <c r="E64" s="26">
        <v>300000</v>
      </c>
      <c r="F64" s="126"/>
      <c r="G64" s="26">
        <f>50000+100000</f>
        <v>150000</v>
      </c>
      <c r="H64" s="126"/>
      <c r="I64" s="268">
        <f t="shared" si="1"/>
        <v>50</v>
      </c>
    </row>
    <row r="65" spans="1:9" ht="19.5" customHeight="1">
      <c r="A65" s="182"/>
      <c r="B65" s="9"/>
      <c r="C65" s="139" t="s">
        <v>467</v>
      </c>
      <c r="D65" s="163" t="s">
        <v>468</v>
      </c>
      <c r="E65" s="26">
        <v>2000</v>
      </c>
      <c r="F65" s="126"/>
      <c r="G65" s="26">
        <v>1000</v>
      </c>
      <c r="H65" s="126"/>
      <c r="I65" s="268">
        <f t="shared" si="1"/>
        <v>50</v>
      </c>
    </row>
    <row r="66" spans="1:10" ht="46.5" customHeight="1">
      <c r="A66" s="130">
        <v>756</v>
      </c>
      <c r="B66" s="11"/>
      <c r="C66" s="130"/>
      <c r="D66" s="170" t="s">
        <v>305</v>
      </c>
      <c r="E66" s="83">
        <f>E67+E70+E79+E91+E98+E101</f>
        <v>139860916</v>
      </c>
      <c r="F66" s="126"/>
      <c r="G66" s="83">
        <f>G67+G70+G79+G91+G98+G101</f>
        <v>142608445</v>
      </c>
      <c r="H66" s="126"/>
      <c r="I66" s="361">
        <f t="shared" si="1"/>
        <v>101.96447233335724</v>
      </c>
      <c r="J66" s="50"/>
    </row>
    <row r="67" spans="1:9" s="53" customFormat="1" ht="28.5" customHeight="1">
      <c r="A67" s="181"/>
      <c r="B67" s="24">
        <v>75601</v>
      </c>
      <c r="C67" s="138"/>
      <c r="D67" s="193" t="s">
        <v>126</v>
      </c>
      <c r="E67" s="28">
        <f>SUM(E68:E69)</f>
        <v>181500</v>
      </c>
      <c r="F67" s="225"/>
      <c r="G67" s="28">
        <f>SUM(G68:G69)</f>
        <v>181500</v>
      </c>
      <c r="H67" s="225"/>
      <c r="I67" s="268">
        <f t="shared" si="1"/>
        <v>100</v>
      </c>
    </row>
    <row r="68" spans="1:10" ht="39" customHeight="1">
      <c r="A68" s="182"/>
      <c r="B68" s="9"/>
      <c r="C68" s="139" t="s">
        <v>127</v>
      </c>
      <c r="D68" s="163" t="s">
        <v>384</v>
      </c>
      <c r="E68" s="26">
        <v>180000</v>
      </c>
      <c r="F68" s="126"/>
      <c r="G68" s="26">
        <v>180000</v>
      </c>
      <c r="H68" s="126"/>
      <c r="I68" s="268">
        <f t="shared" si="1"/>
        <v>100</v>
      </c>
      <c r="J68" s="50"/>
    </row>
    <row r="69" spans="1:9" ht="24.75" customHeight="1">
      <c r="A69" s="182"/>
      <c r="B69" s="9"/>
      <c r="C69" s="139" t="s">
        <v>332</v>
      </c>
      <c r="D69" s="163" t="s">
        <v>385</v>
      </c>
      <c r="E69" s="127">
        <v>1500</v>
      </c>
      <c r="F69" s="126"/>
      <c r="G69" s="127">
        <v>1500</v>
      </c>
      <c r="H69" s="126"/>
      <c r="I69" s="268">
        <f t="shared" si="1"/>
        <v>100</v>
      </c>
    </row>
    <row r="70" spans="1:9" s="53" customFormat="1" ht="49.5" customHeight="1">
      <c r="A70" s="181"/>
      <c r="B70" s="23">
        <v>75615</v>
      </c>
      <c r="C70" s="138"/>
      <c r="D70" s="193" t="s">
        <v>235</v>
      </c>
      <c r="E70" s="28">
        <f>SUM(E71:E78)</f>
        <v>55579223</v>
      </c>
      <c r="F70" s="225"/>
      <c r="G70" s="28">
        <f>SUM(G71:G78)</f>
        <v>56193187</v>
      </c>
      <c r="H70" s="225"/>
      <c r="I70" s="268">
        <f t="shared" si="1"/>
        <v>101.1046645974162</v>
      </c>
    </row>
    <row r="71" spans="1:9" ht="15.75" customHeight="1">
      <c r="A71" s="182"/>
      <c r="B71" s="9"/>
      <c r="C71" s="139" t="s">
        <v>236</v>
      </c>
      <c r="D71" s="163" t="s">
        <v>386</v>
      </c>
      <c r="E71" s="26">
        <v>54000000</v>
      </c>
      <c r="F71" s="126"/>
      <c r="G71" s="26">
        <v>54600000</v>
      </c>
      <c r="H71" s="126"/>
      <c r="I71" s="268">
        <f t="shared" si="1"/>
        <v>101.11111111111111</v>
      </c>
    </row>
    <row r="72" spans="1:9" ht="16.5" customHeight="1">
      <c r="A72" s="182"/>
      <c r="B72" s="9"/>
      <c r="C72" s="139" t="s">
        <v>237</v>
      </c>
      <c r="D72" s="163" t="s">
        <v>387</v>
      </c>
      <c r="E72" s="26">
        <v>65000</v>
      </c>
      <c r="F72" s="126"/>
      <c r="G72" s="26">
        <v>65000</v>
      </c>
      <c r="H72" s="126"/>
      <c r="I72" s="268">
        <f t="shared" si="1"/>
        <v>100</v>
      </c>
    </row>
    <row r="73" spans="1:9" ht="15.75" customHeight="1">
      <c r="A73" s="182"/>
      <c r="B73" s="9"/>
      <c r="C73" s="139" t="s">
        <v>238</v>
      </c>
      <c r="D73" s="163" t="s">
        <v>388</v>
      </c>
      <c r="E73" s="26">
        <v>6600</v>
      </c>
      <c r="F73" s="126"/>
      <c r="G73" s="26">
        <v>6800</v>
      </c>
      <c r="H73" s="126"/>
      <c r="I73" s="268">
        <f t="shared" si="1"/>
        <v>103.03030303030303</v>
      </c>
    </row>
    <row r="74" spans="1:9" ht="18.75" customHeight="1">
      <c r="A74" s="182"/>
      <c r="B74" s="9"/>
      <c r="C74" s="139" t="s">
        <v>239</v>
      </c>
      <c r="D74" s="163" t="s">
        <v>389</v>
      </c>
      <c r="E74" s="26">
        <v>500000</v>
      </c>
      <c r="F74" s="126"/>
      <c r="G74" s="26">
        <v>510000</v>
      </c>
      <c r="H74" s="126"/>
      <c r="I74" s="268">
        <f t="shared" si="1"/>
        <v>102</v>
      </c>
    </row>
    <row r="75" spans="1:9" ht="21" customHeight="1">
      <c r="A75" s="182"/>
      <c r="B75" s="9"/>
      <c r="C75" s="139" t="s">
        <v>240</v>
      </c>
      <c r="D75" s="163" t="s">
        <v>390</v>
      </c>
      <c r="E75" s="26">
        <v>700000</v>
      </c>
      <c r="F75" s="126"/>
      <c r="G75" s="26">
        <v>700000</v>
      </c>
      <c r="H75" s="126"/>
      <c r="I75" s="268">
        <f t="shared" si="1"/>
        <v>100</v>
      </c>
    </row>
    <row r="76" spans="1:9" ht="18" customHeight="1">
      <c r="A76" s="182"/>
      <c r="B76" s="9"/>
      <c r="C76" s="139" t="s">
        <v>467</v>
      </c>
      <c r="D76" s="163" t="s">
        <v>468</v>
      </c>
      <c r="E76" s="26">
        <v>2500</v>
      </c>
      <c r="F76" s="126"/>
      <c r="G76" s="26">
        <f>500+2000</f>
        <v>2500</v>
      </c>
      <c r="H76" s="126"/>
      <c r="I76" s="268">
        <f t="shared" si="1"/>
        <v>100</v>
      </c>
    </row>
    <row r="77" spans="1:9" ht="23.25" customHeight="1">
      <c r="A77" s="182"/>
      <c r="B77" s="9"/>
      <c r="C77" s="139" t="s">
        <v>332</v>
      </c>
      <c r="D77" s="163" t="s">
        <v>385</v>
      </c>
      <c r="E77" s="26">
        <v>100000</v>
      </c>
      <c r="F77" s="126"/>
      <c r="G77" s="26">
        <v>100000</v>
      </c>
      <c r="H77" s="126"/>
      <c r="I77" s="268">
        <f t="shared" si="1"/>
        <v>100</v>
      </c>
    </row>
    <row r="78" spans="1:9" ht="26.25" customHeight="1">
      <c r="A78" s="182"/>
      <c r="B78" s="9"/>
      <c r="C78" s="139">
        <v>2680</v>
      </c>
      <c r="D78" s="163" t="s">
        <v>241</v>
      </c>
      <c r="E78" s="26">
        <f>203752+1371</f>
        <v>205123</v>
      </c>
      <c r="F78" s="126"/>
      <c r="G78" s="26">
        <v>208887</v>
      </c>
      <c r="H78" s="126"/>
      <c r="I78" s="268">
        <f t="shared" si="1"/>
        <v>101.83499656303778</v>
      </c>
    </row>
    <row r="79" spans="1:9" s="53" customFormat="1" ht="48.75" customHeight="1">
      <c r="A79" s="181"/>
      <c r="B79" s="24">
        <v>75616</v>
      </c>
      <c r="C79" s="138"/>
      <c r="D79" s="193" t="s">
        <v>252</v>
      </c>
      <c r="E79" s="28">
        <f>SUM(E80:E90)</f>
        <v>15071850</v>
      </c>
      <c r="F79" s="225"/>
      <c r="G79" s="28">
        <f>SUM(G80:G90)</f>
        <v>15387200</v>
      </c>
      <c r="H79" s="225"/>
      <c r="I79" s="268">
        <f t="shared" si="1"/>
        <v>102.09231116286321</v>
      </c>
    </row>
    <row r="80" spans="1:10" ht="18" customHeight="1">
      <c r="A80" s="182"/>
      <c r="B80" s="9"/>
      <c r="C80" s="139" t="s">
        <v>236</v>
      </c>
      <c r="D80" s="163" t="s">
        <v>386</v>
      </c>
      <c r="E80" s="26">
        <v>10200000</v>
      </c>
      <c r="F80" s="126"/>
      <c r="G80" s="26">
        <v>10500000</v>
      </c>
      <c r="H80" s="126"/>
      <c r="I80" s="268">
        <f t="shared" si="1"/>
        <v>102.94117647058823</v>
      </c>
      <c r="J80" s="50"/>
    </row>
    <row r="81" spans="1:9" ht="18" customHeight="1">
      <c r="A81" s="182"/>
      <c r="B81" s="9"/>
      <c r="C81" s="139" t="s">
        <v>237</v>
      </c>
      <c r="D81" s="163" t="s">
        <v>387</v>
      </c>
      <c r="E81" s="26">
        <v>185000</v>
      </c>
      <c r="F81" s="126"/>
      <c r="G81" s="26">
        <v>185000</v>
      </c>
      <c r="H81" s="126"/>
      <c r="I81" s="268">
        <f t="shared" si="1"/>
        <v>100</v>
      </c>
    </row>
    <row r="82" spans="1:9" ht="18.75" customHeight="1">
      <c r="A82" s="182"/>
      <c r="B82" s="9"/>
      <c r="C82" s="139" t="s">
        <v>238</v>
      </c>
      <c r="D82" s="163" t="s">
        <v>388</v>
      </c>
      <c r="E82" s="26">
        <v>1100</v>
      </c>
      <c r="F82" s="126"/>
      <c r="G82" s="26">
        <v>1200</v>
      </c>
      <c r="H82" s="126"/>
      <c r="I82" s="268">
        <f t="shared" si="1"/>
        <v>109.09090909090908</v>
      </c>
    </row>
    <row r="83" spans="1:9" ht="16.5" customHeight="1">
      <c r="A83" s="182"/>
      <c r="B83" s="9"/>
      <c r="C83" s="139" t="s">
        <v>239</v>
      </c>
      <c r="D83" s="163" t="s">
        <v>389</v>
      </c>
      <c r="E83" s="26">
        <v>650000</v>
      </c>
      <c r="F83" s="126"/>
      <c r="G83" s="26">
        <v>660000</v>
      </c>
      <c r="H83" s="126"/>
      <c r="I83" s="268">
        <f t="shared" si="1"/>
        <v>101.53846153846153</v>
      </c>
    </row>
    <row r="84" spans="1:9" ht="16.5" customHeight="1">
      <c r="A84" s="182"/>
      <c r="B84" s="9"/>
      <c r="C84" s="139" t="s">
        <v>339</v>
      </c>
      <c r="D84" s="163" t="s">
        <v>391</v>
      </c>
      <c r="E84" s="26">
        <v>300000</v>
      </c>
      <c r="F84" s="126"/>
      <c r="G84" s="26">
        <v>300000</v>
      </c>
      <c r="H84" s="126"/>
      <c r="I84" s="268">
        <f t="shared" si="1"/>
        <v>100</v>
      </c>
    </row>
    <row r="85" spans="1:9" ht="16.5" customHeight="1">
      <c r="A85" s="182"/>
      <c r="B85" s="9"/>
      <c r="C85" s="139" t="s">
        <v>505</v>
      </c>
      <c r="D85" s="163" t="s">
        <v>394</v>
      </c>
      <c r="E85" s="26">
        <v>40000</v>
      </c>
      <c r="F85" s="126"/>
      <c r="G85" s="26">
        <v>40000</v>
      </c>
      <c r="H85" s="126"/>
      <c r="I85" s="268">
        <f t="shared" si="1"/>
        <v>100</v>
      </c>
    </row>
    <row r="86" spans="1:9" ht="16.5" customHeight="1">
      <c r="A86" s="182"/>
      <c r="B86" s="9"/>
      <c r="C86" s="139" t="s">
        <v>268</v>
      </c>
      <c r="D86" s="163" t="s">
        <v>269</v>
      </c>
      <c r="E86" s="26">
        <v>780000</v>
      </c>
      <c r="F86" s="126"/>
      <c r="G86" s="26">
        <f>194000+592000</f>
        <v>786000</v>
      </c>
      <c r="H86" s="126"/>
      <c r="I86" s="268">
        <f t="shared" si="1"/>
        <v>100.76923076923077</v>
      </c>
    </row>
    <row r="87" spans="1:9" ht="18.75" customHeight="1">
      <c r="A87" s="182"/>
      <c r="B87" s="9"/>
      <c r="C87" s="139" t="s">
        <v>240</v>
      </c>
      <c r="D87" s="163" t="s">
        <v>390</v>
      </c>
      <c r="E87" s="26">
        <v>2800000</v>
      </c>
      <c r="F87" s="126"/>
      <c r="G87" s="26">
        <v>2800000</v>
      </c>
      <c r="H87" s="126"/>
      <c r="I87" s="268">
        <f t="shared" si="1"/>
        <v>100</v>
      </c>
    </row>
    <row r="88" spans="1:9" ht="27" customHeight="1">
      <c r="A88" s="182"/>
      <c r="B88" s="9"/>
      <c r="C88" s="139" t="s">
        <v>337</v>
      </c>
      <c r="D88" s="163" t="s">
        <v>382</v>
      </c>
      <c r="E88" s="26">
        <v>750</v>
      </c>
      <c r="F88" s="126"/>
      <c r="G88" s="26"/>
      <c r="H88" s="126"/>
      <c r="I88" s="268"/>
    </row>
    <row r="89" spans="1:9" ht="18" customHeight="1">
      <c r="A89" s="182"/>
      <c r="B89" s="9"/>
      <c r="C89" s="139" t="s">
        <v>467</v>
      </c>
      <c r="D89" s="163" t="s">
        <v>468</v>
      </c>
      <c r="E89" s="26">
        <v>35000</v>
      </c>
      <c r="F89" s="126"/>
      <c r="G89" s="26">
        <v>35000</v>
      </c>
      <c r="H89" s="126"/>
      <c r="I89" s="268">
        <f t="shared" si="1"/>
        <v>100</v>
      </c>
    </row>
    <row r="90" spans="1:9" ht="24" customHeight="1">
      <c r="A90" s="182"/>
      <c r="B90" s="9"/>
      <c r="C90" s="139" t="s">
        <v>332</v>
      </c>
      <c r="D90" s="163" t="s">
        <v>385</v>
      </c>
      <c r="E90" s="26">
        <v>80000</v>
      </c>
      <c r="F90" s="126"/>
      <c r="G90" s="26">
        <v>80000</v>
      </c>
      <c r="H90" s="126"/>
      <c r="I90" s="268">
        <f t="shared" si="1"/>
        <v>100</v>
      </c>
    </row>
    <row r="91" spans="1:10" s="53" customFormat="1" ht="38.25" customHeight="1">
      <c r="A91" s="181"/>
      <c r="B91" s="23">
        <v>75618</v>
      </c>
      <c r="C91" s="138" t="s">
        <v>307</v>
      </c>
      <c r="D91" s="193" t="s">
        <v>270</v>
      </c>
      <c r="E91" s="28">
        <f>SUM(E92:E97)</f>
        <v>3197800</v>
      </c>
      <c r="F91" s="225"/>
      <c r="G91" s="28">
        <f>SUM(G92:G97)</f>
        <v>3161500</v>
      </c>
      <c r="H91" s="225"/>
      <c r="I91" s="268">
        <f t="shared" si="1"/>
        <v>98.86484458064919</v>
      </c>
      <c r="J91" s="356"/>
    </row>
    <row r="92" spans="1:9" ht="20.25" customHeight="1">
      <c r="A92" s="182"/>
      <c r="B92" s="9"/>
      <c r="C92" s="139" t="s">
        <v>271</v>
      </c>
      <c r="D92" s="163" t="s">
        <v>272</v>
      </c>
      <c r="E92" s="26">
        <v>1200000</v>
      </c>
      <c r="F92" s="126"/>
      <c r="G92" s="26">
        <v>1200000</v>
      </c>
      <c r="H92" s="126"/>
      <c r="I92" s="268">
        <f t="shared" si="1"/>
        <v>100</v>
      </c>
    </row>
    <row r="93" spans="1:9" ht="26.25" customHeight="1">
      <c r="A93" s="182"/>
      <c r="B93" s="9"/>
      <c r="C93" s="136" t="s">
        <v>273</v>
      </c>
      <c r="D93" s="194" t="s">
        <v>233</v>
      </c>
      <c r="E93" s="26">
        <v>1680000</v>
      </c>
      <c r="F93" s="126"/>
      <c r="G93" s="26">
        <v>1680000</v>
      </c>
      <c r="H93" s="126"/>
      <c r="I93" s="268">
        <f t="shared" si="1"/>
        <v>100</v>
      </c>
    </row>
    <row r="94" spans="1:9" ht="38.25" customHeight="1">
      <c r="A94" s="182"/>
      <c r="B94" s="9"/>
      <c r="C94" s="139" t="s">
        <v>274</v>
      </c>
      <c r="D94" s="163" t="s">
        <v>276</v>
      </c>
      <c r="E94" s="26">
        <v>280000</v>
      </c>
      <c r="F94" s="126"/>
      <c r="G94" s="26">
        <v>280000</v>
      </c>
      <c r="H94" s="126"/>
      <c r="I94" s="268">
        <f t="shared" si="1"/>
        <v>100</v>
      </c>
    </row>
    <row r="95" spans="1:9" ht="39.75" customHeight="1">
      <c r="A95" s="182"/>
      <c r="B95" s="9"/>
      <c r="C95" s="139" t="s">
        <v>479</v>
      </c>
      <c r="D95" s="163" t="s">
        <v>395</v>
      </c>
      <c r="E95" s="26">
        <v>36500</v>
      </c>
      <c r="F95" s="126"/>
      <c r="G95" s="26"/>
      <c r="H95" s="126"/>
      <c r="I95" s="268"/>
    </row>
    <row r="96" spans="1:9" ht="21.75" customHeight="1">
      <c r="A96" s="182"/>
      <c r="B96" s="9"/>
      <c r="C96" s="139" t="s">
        <v>467</v>
      </c>
      <c r="D96" s="163" t="s">
        <v>468</v>
      </c>
      <c r="E96" s="26">
        <v>300</v>
      </c>
      <c r="F96" s="126"/>
      <c r="G96" s="26">
        <v>500</v>
      </c>
      <c r="H96" s="126"/>
      <c r="I96" s="268">
        <f t="shared" si="1"/>
        <v>166.66666666666669</v>
      </c>
    </row>
    <row r="97" spans="1:9" ht="19.5" customHeight="1">
      <c r="A97" s="182"/>
      <c r="B97" s="9"/>
      <c r="C97" s="136" t="s">
        <v>334</v>
      </c>
      <c r="D97" s="163" t="s">
        <v>379</v>
      </c>
      <c r="E97" s="26">
        <v>1000</v>
      </c>
      <c r="F97" s="126"/>
      <c r="G97" s="26">
        <v>1000</v>
      </c>
      <c r="H97" s="126"/>
      <c r="I97" s="268">
        <f t="shared" si="1"/>
        <v>100</v>
      </c>
    </row>
    <row r="98" spans="1:9" s="53" customFormat="1" ht="27.75" customHeight="1">
      <c r="A98" s="181"/>
      <c r="B98" s="23">
        <v>75621</v>
      </c>
      <c r="C98" s="138"/>
      <c r="D98" s="193" t="s">
        <v>277</v>
      </c>
      <c r="E98" s="28">
        <f>SUM(E99:E100)</f>
        <v>65730543</v>
      </c>
      <c r="F98" s="225"/>
      <c r="G98" s="28">
        <f>SUM(G99:G100)</f>
        <v>67585058</v>
      </c>
      <c r="H98" s="225"/>
      <c r="I98" s="268">
        <f aca="true" t="shared" si="2" ref="I98:I194">G98/E98*100</f>
        <v>102.82139004998025</v>
      </c>
    </row>
    <row r="99" spans="1:9" ht="27" customHeight="1">
      <c r="A99" s="182"/>
      <c r="B99" s="9"/>
      <c r="C99" s="139" t="s">
        <v>278</v>
      </c>
      <c r="D99" s="163" t="s">
        <v>126</v>
      </c>
      <c r="E99" s="26">
        <v>62530543</v>
      </c>
      <c r="F99" s="126"/>
      <c r="G99" s="26">
        <v>64385058</v>
      </c>
      <c r="H99" s="126"/>
      <c r="I99" s="268">
        <f t="shared" si="2"/>
        <v>102.96577466151223</v>
      </c>
    </row>
    <row r="100" spans="1:10" ht="25.5" customHeight="1">
      <c r="A100" s="182"/>
      <c r="B100" s="9"/>
      <c r="C100" s="139" t="s">
        <v>474</v>
      </c>
      <c r="D100" s="163" t="s">
        <v>396</v>
      </c>
      <c r="E100" s="26">
        <v>3200000</v>
      </c>
      <c r="F100" s="126"/>
      <c r="G100" s="26">
        <v>3200000</v>
      </c>
      <c r="H100" s="126"/>
      <c r="I100" s="268">
        <f t="shared" si="2"/>
        <v>100</v>
      </c>
      <c r="J100" s="50"/>
    </row>
    <row r="101" spans="1:9" s="53" customFormat="1" ht="20.25" customHeight="1">
      <c r="A101" s="181"/>
      <c r="B101" s="24">
        <v>75624</v>
      </c>
      <c r="C101" s="138"/>
      <c r="D101" s="193" t="s">
        <v>331</v>
      </c>
      <c r="E101" s="28">
        <f>E102</f>
        <v>100000</v>
      </c>
      <c r="F101" s="225"/>
      <c r="G101" s="28">
        <f>G102</f>
        <v>100000</v>
      </c>
      <c r="H101" s="225"/>
      <c r="I101" s="268">
        <f t="shared" si="2"/>
        <v>100</v>
      </c>
    </row>
    <row r="102" spans="1:9" ht="20.25" customHeight="1">
      <c r="A102" s="182"/>
      <c r="B102" s="9"/>
      <c r="C102" s="139" t="s">
        <v>191</v>
      </c>
      <c r="D102" s="163" t="s">
        <v>192</v>
      </c>
      <c r="E102" s="26">
        <v>100000</v>
      </c>
      <c r="F102" s="126"/>
      <c r="G102" s="26">
        <v>100000</v>
      </c>
      <c r="H102" s="126"/>
      <c r="I102" s="268">
        <f t="shared" si="2"/>
        <v>100</v>
      </c>
    </row>
    <row r="103" spans="1:9" ht="21" customHeight="1">
      <c r="A103" s="130">
        <v>758</v>
      </c>
      <c r="B103" s="11"/>
      <c r="C103" s="130"/>
      <c r="D103" s="170" t="s">
        <v>346</v>
      </c>
      <c r="E103" s="83">
        <f>E104+E106+E112+E114+E116</f>
        <v>53502185.42</v>
      </c>
      <c r="F103" s="126"/>
      <c r="G103" s="83">
        <f>G104+G106+G112+G114+G116</f>
        <v>47979708.31</v>
      </c>
      <c r="H103" s="126"/>
      <c r="I103" s="361">
        <f t="shared" si="2"/>
        <v>89.67803452018316</v>
      </c>
    </row>
    <row r="104" spans="1:9" s="53" customFormat="1" ht="29.25" customHeight="1">
      <c r="A104" s="181"/>
      <c r="B104" s="23">
        <v>75801</v>
      </c>
      <c r="C104" s="138"/>
      <c r="D104" s="193" t="s">
        <v>475</v>
      </c>
      <c r="E104" s="28">
        <f>E105</f>
        <v>47201890</v>
      </c>
      <c r="F104" s="225"/>
      <c r="G104" s="28">
        <f>G105</f>
        <v>44087528</v>
      </c>
      <c r="H104" s="225"/>
      <c r="I104" s="268">
        <f t="shared" si="2"/>
        <v>93.40203962171853</v>
      </c>
    </row>
    <row r="105" spans="1:9" ht="22.5" customHeight="1">
      <c r="A105" s="182"/>
      <c r="B105" s="9"/>
      <c r="C105" s="139">
        <v>2920</v>
      </c>
      <c r="D105" s="163" t="s">
        <v>476</v>
      </c>
      <c r="E105" s="233">
        <v>47201890</v>
      </c>
      <c r="F105" s="126"/>
      <c r="G105" s="233">
        <v>44087528</v>
      </c>
      <c r="H105" s="126"/>
      <c r="I105" s="268">
        <f t="shared" si="2"/>
        <v>93.40203962171853</v>
      </c>
    </row>
    <row r="106" spans="1:9" s="53" customFormat="1" ht="21" customHeight="1">
      <c r="A106" s="181"/>
      <c r="B106" s="23">
        <v>75814</v>
      </c>
      <c r="C106" s="138"/>
      <c r="D106" s="193" t="s">
        <v>302</v>
      </c>
      <c r="E106" s="28">
        <f>SUM(E107:E111)</f>
        <v>5504888.420000001</v>
      </c>
      <c r="F106" s="225"/>
      <c r="G106" s="28">
        <f>SUM(G107:G111)</f>
        <v>2745506.31</v>
      </c>
      <c r="H106" s="225"/>
      <c r="I106" s="268">
        <f t="shared" si="2"/>
        <v>49.873968380997624</v>
      </c>
    </row>
    <row r="107" spans="1:9" ht="20.25" customHeight="1">
      <c r="A107" s="182"/>
      <c r="B107" s="9"/>
      <c r="C107" s="139" t="s">
        <v>334</v>
      </c>
      <c r="D107" s="163" t="s">
        <v>379</v>
      </c>
      <c r="E107" s="26">
        <v>150000</v>
      </c>
      <c r="F107" s="126"/>
      <c r="G107" s="26">
        <v>150000</v>
      </c>
      <c r="H107" s="126"/>
      <c r="I107" s="268">
        <f t="shared" si="2"/>
        <v>100</v>
      </c>
    </row>
    <row r="108" spans="1:9" ht="19.5" customHeight="1">
      <c r="A108" s="182"/>
      <c r="B108" s="9"/>
      <c r="C108" s="139" t="s">
        <v>318</v>
      </c>
      <c r="D108" s="163" t="s">
        <v>319</v>
      </c>
      <c r="E108" s="26">
        <v>200000</v>
      </c>
      <c r="F108" s="126"/>
      <c r="G108" s="26">
        <f>150000+430000+2000000+15506.31</f>
        <v>2595506.31</v>
      </c>
      <c r="H108" s="126"/>
      <c r="I108" s="362">
        <f t="shared" si="2"/>
        <v>1297.753155</v>
      </c>
    </row>
    <row r="109" spans="1:9" ht="60" customHeight="1">
      <c r="A109" s="182"/>
      <c r="B109" s="9"/>
      <c r="C109" s="328">
        <v>2910</v>
      </c>
      <c r="D109" s="163" t="s">
        <v>187</v>
      </c>
      <c r="E109" s="26">
        <v>5892.78</v>
      </c>
      <c r="F109" s="126"/>
      <c r="G109" s="26"/>
      <c r="H109" s="233"/>
      <c r="I109" s="362"/>
    </row>
    <row r="110" spans="1:9" ht="38.25" customHeight="1">
      <c r="A110" s="182"/>
      <c r="B110" s="9"/>
      <c r="C110" s="328" t="s">
        <v>188</v>
      </c>
      <c r="D110" s="163" t="s">
        <v>189</v>
      </c>
      <c r="E110" s="26">
        <v>91649.7</v>
      </c>
      <c r="F110" s="126"/>
      <c r="G110" s="26"/>
      <c r="H110" s="233"/>
      <c r="I110" s="366"/>
    </row>
    <row r="111" spans="1:9" ht="41.25" customHeight="1">
      <c r="A111" s="182"/>
      <c r="B111" s="9"/>
      <c r="C111" s="328">
        <v>6680</v>
      </c>
      <c r="D111" s="163" t="s">
        <v>189</v>
      </c>
      <c r="E111" s="26">
        <v>5057345.94</v>
      </c>
      <c r="F111" s="126"/>
      <c r="G111" s="26"/>
      <c r="H111" s="233"/>
      <c r="I111" s="366"/>
    </row>
    <row r="112" spans="1:10" s="53" customFormat="1" ht="23.25" customHeight="1">
      <c r="A112" s="340"/>
      <c r="B112" s="334">
        <v>75815</v>
      </c>
      <c r="C112" s="341"/>
      <c r="D112" s="335" t="s">
        <v>374</v>
      </c>
      <c r="E112" s="319"/>
      <c r="F112" s="342"/>
      <c r="G112" s="319">
        <f>G113</f>
        <v>0</v>
      </c>
      <c r="H112" s="155"/>
      <c r="I112" s="440"/>
      <c r="J112" s="159"/>
    </row>
    <row r="113" spans="1:10" ht="24.75" customHeight="1">
      <c r="A113" s="343"/>
      <c r="B113" s="9"/>
      <c r="C113" s="324" t="s">
        <v>375</v>
      </c>
      <c r="D113" s="325" t="s">
        <v>374</v>
      </c>
      <c r="E113" s="326"/>
      <c r="F113" s="344"/>
      <c r="G113" s="326"/>
      <c r="H113" s="55"/>
      <c r="I113" s="441"/>
      <c r="J113" s="157"/>
    </row>
    <row r="114" spans="1:10" s="53" customFormat="1" ht="24" customHeight="1">
      <c r="A114" s="340"/>
      <c r="B114" s="334">
        <v>75816</v>
      </c>
      <c r="C114" s="341"/>
      <c r="D114" s="335" t="s">
        <v>376</v>
      </c>
      <c r="E114" s="319"/>
      <c r="F114" s="342"/>
      <c r="G114" s="319">
        <f>G115</f>
        <v>0</v>
      </c>
      <c r="H114" s="155"/>
      <c r="I114" s="440"/>
      <c r="J114" s="159"/>
    </row>
    <row r="115" spans="1:10" ht="23.25" customHeight="1">
      <c r="A115" s="343"/>
      <c r="B115" s="9"/>
      <c r="C115" s="328" t="s">
        <v>377</v>
      </c>
      <c r="D115" s="325" t="s">
        <v>378</v>
      </c>
      <c r="E115" s="326"/>
      <c r="F115" s="344"/>
      <c r="G115" s="326"/>
      <c r="H115" s="55"/>
      <c r="I115" s="442"/>
      <c r="J115" s="157"/>
    </row>
    <row r="116" spans="1:9" s="53" customFormat="1" ht="23.25" customHeight="1">
      <c r="A116" s="181"/>
      <c r="B116" s="23">
        <v>75831</v>
      </c>
      <c r="C116" s="142"/>
      <c r="D116" s="193" t="s">
        <v>477</v>
      </c>
      <c r="E116" s="28">
        <f>E117</f>
        <v>795407</v>
      </c>
      <c r="F116" s="225"/>
      <c r="G116" s="28">
        <f>G117</f>
        <v>1146674</v>
      </c>
      <c r="H116" s="225"/>
      <c r="I116" s="365">
        <f t="shared" si="2"/>
        <v>144.1619196210242</v>
      </c>
    </row>
    <row r="117" spans="1:9" ht="22.5" customHeight="1">
      <c r="A117" s="182"/>
      <c r="B117" s="9"/>
      <c r="C117" s="139">
        <v>2920</v>
      </c>
      <c r="D117" s="163" t="s">
        <v>476</v>
      </c>
      <c r="E117" s="127">
        <v>795407</v>
      </c>
      <c r="F117" s="126"/>
      <c r="G117" s="127">
        <v>1146674</v>
      </c>
      <c r="H117" s="126"/>
      <c r="I117" s="268">
        <f t="shared" si="2"/>
        <v>144.1619196210242</v>
      </c>
    </row>
    <row r="118" spans="1:10" ht="20.25" customHeight="1">
      <c r="A118" s="130">
        <v>801</v>
      </c>
      <c r="B118" s="14"/>
      <c r="C118" s="130"/>
      <c r="D118" s="170" t="s">
        <v>348</v>
      </c>
      <c r="E118" s="83">
        <f>E119+E127+E130+E138+E144+E148+E150</f>
        <v>9994878.33</v>
      </c>
      <c r="F118" s="83">
        <f>F119+F127+F130+F138+F144+F148+F150</f>
        <v>516200.95</v>
      </c>
      <c r="G118" s="83">
        <f>G119+G127+G130+G138+G144+G148+G150</f>
        <v>5911366</v>
      </c>
      <c r="H118" s="83">
        <f>H119+H127+H130+H138+H144+H148+H150</f>
        <v>0</v>
      </c>
      <c r="I118" s="361">
        <f t="shared" si="2"/>
        <v>59.143951580249</v>
      </c>
      <c r="J118" s="50"/>
    </row>
    <row r="119" spans="1:10" s="53" customFormat="1" ht="21" customHeight="1">
      <c r="A119" s="181"/>
      <c r="B119" s="24">
        <v>80101</v>
      </c>
      <c r="C119" s="132"/>
      <c r="D119" s="193" t="s">
        <v>349</v>
      </c>
      <c r="E119" s="239">
        <f>SUM(E120:E126)</f>
        <v>717914.4299999999</v>
      </c>
      <c r="F119" s="239">
        <f>SUM(F120:F126)</f>
        <v>278024.43</v>
      </c>
      <c r="G119" s="239">
        <f>SUM(G120:G126)</f>
        <v>247682</v>
      </c>
      <c r="H119" s="239">
        <f>SUM(H120:H126)</f>
        <v>0</v>
      </c>
      <c r="I119" s="268">
        <f t="shared" si="2"/>
        <v>34.500211954229705</v>
      </c>
      <c r="J119" s="356"/>
    </row>
    <row r="120" spans="1:10" s="53" customFormat="1" ht="21" customHeight="1">
      <c r="A120" s="184"/>
      <c r="B120" s="32"/>
      <c r="C120" s="139" t="s">
        <v>467</v>
      </c>
      <c r="D120" s="163" t="s">
        <v>468</v>
      </c>
      <c r="E120" s="127">
        <v>1300</v>
      </c>
      <c r="F120" s="126"/>
      <c r="G120" s="127">
        <v>688</v>
      </c>
      <c r="H120" s="126"/>
      <c r="I120" s="268">
        <f t="shared" si="2"/>
        <v>52.92307692307693</v>
      </c>
      <c r="J120" s="356"/>
    </row>
    <row r="121" spans="1:9" ht="66" customHeight="1">
      <c r="A121" s="185"/>
      <c r="B121" s="7"/>
      <c r="C121" s="139" t="s">
        <v>473</v>
      </c>
      <c r="D121" s="163" t="s">
        <v>383</v>
      </c>
      <c r="E121" s="26">
        <v>270000</v>
      </c>
      <c r="F121" s="126"/>
      <c r="G121" s="127">
        <v>234126</v>
      </c>
      <c r="H121" s="126"/>
      <c r="I121" s="268">
        <f t="shared" si="2"/>
        <v>86.71333333333334</v>
      </c>
    </row>
    <row r="122" spans="1:9" ht="23.25" customHeight="1">
      <c r="A122" s="185"/>
      <c r="B122" s="7"/>
      <c r="C122" s="139" t="s">
        <v>334</v>
      </c>
      <c r="D122" s="163" t="s">
        <v>379</v>
      </c>
      <c r="E122" s="128">
        <v>100</v>
      </c>
      <c r="F122" s="126"/>
      <c r="G122" s="128"/>
      <c r="H122" s="126"/>
      <c r="I122" s="268"/>
    </row>
    <row r="123" spans="1:9" ht="21.75" customHeight="1">
      <c r="A123" s="185"/>
      <c r="B123" s="7"/>
      <c r="C123" s="324" t="s">
        <v>113</v>
      </c>
      <c r="D123" s="169" t="s">
        <v>397</v>
      </c>
      <c r="E123" s="128">
        <v>4000</v>
      </c>
      <c r="F123" s="126"/>
      <c r="G123" s="128"/>
      <c r="H123" s="126"/>
      <c r="I123" s="268"/>
    </row>
    <row r="124" spans="1:9" ht="18.75" customHeight="1">
      <c r="A124" s="185"/>
      <c r="B124" s="7"/>
      <c r="C124" s="139" t="s">
        <v>318</v>
      </c>
      <c r="D124" s="163" t="s">
        <v>319</v>
      </c>
      <c r="E124" s="128">
        <v>147000</v>
      </c>
      <c r="F124" s="126"/>
      <c r="G124" s="128">
        <v>12868</v>
      </c>
      <c r="H124" s="126"/>
      <c r="I124" s="268">
        <f t="shared" si="2"/>
        <v>8.75374149659864</v>
      </c>
    </row>
    <row r="125" spans="1:9" ht="53.25" customHeight="1">
      <c r="A125" s="185"/>
      <c r="B125" s="7"/>
      <c r="C125" s="139">
        <v>2010</v>
      </c>
      <c r="D125" s="169" t="s">
        <v>335</v>
      </c>
      <c r="E125" s="128">
        <f>278024.43</f>
        <v>278024.43</v>
      </c>
      <c r="F125" s="52">
        <v>278024.43</v>
      </c>
      <c r="G125" s="52"/>
      <c r="H125" s="52"/>
      <c r="I125" s="268"/>
    </row>
    <row r="126" spans="1:9" ht="53.25" customHeight="1">
      <c r="A126" s="185"/>
      <c r="B126" s="7"/>
      <c r="C126" s="408" t="s">
        <v>412</v>
      </c>
      <c r="D126" s="163" t="s">
        <v>260</v>
      </c>
      <c r="E126" s="128">
        <v>17490</v>
      </c>
      <c r="F126" s="126"/>
      <c r="G126" s="52"/>
      <c r="H126" s="126"/>
      <c r="I126" s="268"/>
    </row>
    <row r="127" spans="1:9" s="53" customFormat="1" ht="24.75" customHeight="1">
      <c r="A127" s="184"/>
      <c r="B127" s="46">
        <v>80103</v>
      </c>
      <c r="C127" s="36"/>
      <c r="D127" s="174" t="s">
        <v>328</v>
      </c>
      <c r="E127" s="90">
        <f>SUM(E128:E129)</f>
        <v>43354</v>
      </c>
      <c r="F127" s="225"/>
      <c r="G127" s="90">
        <f>SUM(G128:G129)</f>
        <v>0</v>
      </c>
      <c r="H127" s="225"/>
      <c r="I127" s="268"/>
    </row>
    <row r="128" spans="1:9" ht="19.5" customHeight="1">
      <c r="A128" s="185"/>
      <c r="B128" s="7"/>
      <c r="C128" s="143" t="s">
        <v>470</v>
      </c>
      <c r="D128" s="163" t="s">
        <v>471</v>
      </c>
      <c r="E128" s="26">
        <v>4300</v>
      </c>
      <c r="F128" s="126"/>
      <c r="G128" s="26"/>
      <c r="H128" s="126"/>
      <c r="I128" s="268"/>
    </row>
    <row r="129" spans="1:9" ht="32.25" customHeight="1">
      <c r="A129" s="185"/>
      <c r="B129" s="7"/>
      <c r="C129" s="139">
        <v>2030</v>
      </c>
      <c r="D129" s="163" t="s">
        <v>260</v>
      </c>
      <c r="E129" s="26">
        <v>39054</v>
      </c>
      <c r="F129" s="126"/>
      <c r="G129" s="26"/>
      <c r="H129" s="126"/>
      <c r="I129" s="268"/>
    </row>
    <row r="130" spans="1:10" s="53" customFormat="1" ht="21.75" customHeight="1">
      <c r="A130" s="184"/>
      <c r="B130" s="24">
        <v>80104</v>
      </c>
      <c r="C130" s="132"/>
      <c r="D130" s="193" t="s">
        <v>478</v>
      </c>
      <c r="E130" s="28">
        <f>SUM(E131:E137)</f>
        <v>6861217.28</v>
      </c>
      <c r="F130" s="225"/>
      <c r="G130" s="28">
        <f>SUM(G131:G137)</f>
        <v>3740796</v>
      </c>
      <c r="H130" s="225"/>
      <c r="I130" s="268">
        <f t="shared" si="2"/>
        <v>54.52087942039346</v>
      </c>
      <c r="J130" s="356"/>
    </row>
    <row r="131" spans="1:10" ht="29.25" customHeight="1">
      <c r="A131" s="185"/>
      <c r="B131" s="7"/>
      <c r="C131" s="143" t="s">
        <v>165</v>
      </c>
      <c r="D131" s="163" t="s">
        <v>153</v>
      </c>
      <c r="E131" s="26">
        <v>0</v>
      </c>
      <c r="F131" s="126"/>
      <c r="G131" s="26">
        <v>589431</v>
      </c>
      <c r="H131" s="126"/>
      <c r="I131" s="268"/>
      <c r="J131" s="50"/>
    </row>
    <row r="132" spans="1:10" ht="38.25" customHeight="1">
      <c r="A132" s="185"/>
      <c r="B132" s="7"/>
      <c r="C132" s="143" t="s">
        <v>166</v>
      </c>
      <c r="D132" s="163" t="s">
        <v>154</v>
      </c>
      <c r="E132" s="26">
        <v>0</v>
      </c>
      <c r="F132" s="126"/>
      <c r="G132" s="26">
        <v>2088155</v>
      </c>
      <c r="H132" s="126"/>
      <c r="I132" s="268"/>
      <c r="J132" s="50"/>
    </row>
    <row r="133" spans="1:9" ht="63.75" customHeight="1">
      <c r="A133" s="185"/>
      <c r="B133" s="7"/>
      <c r="C133" s="139" t="s">
        <v>473</v>
      </c>
      <c r="D133" s="163" t="s">
        <v>383</v>
      </c>
      <c r="E133" s="26">
        <v>178713</v>
      </c>
      <c r="F133" s="126"/>
      <c r="G133" s="26">
        <v>180070</v>
      </c>
      <c r="H133" s="126"/>
      <c r="I133" s="268">
        <f t="shared" si="2"/>
        <v>100.75931801267954</v>
      </c>
    </row>
    <row r="134" spans="1:9" ht="18.75" customHeight="1">
      <c r="A134" s="185"/>
      <c r="B134" s="7"/>
      <c r="C134" s="143" t="s">
        <v>470</v>
      </c>
      <c r="D134" s="163" t="s">
        <v>471</v>
      </c>
      <c r="E134" s="26">
        <v>2300000</v>
      </c>
      <c r="F134" s="126"/>
      <c r="G134" s="26"/>
      <c r="H134" s="126"/>
      <c r="I134" s="268">
        <f t="shared" si="2"/>
        <v>0</v>
      </c>
    </row>
    <row r="135" spans="1:9" ht="18.75" customHeight="1">
      <c r="A135" s="185"/>
      <c r="B135" s="7"/>
      <c r="C135" s="143" t="s">
        <v>334</v>
      </c>
      <c r="D135" s="163" t="s">
        <v>379</v>
      </c>
      <c r="E135" s="26">
        <v>2000</v>
      </c>
      <c r="F135" s="126"/>
      <c r="G135" s="26">
        <v>3255</v>
      </c>
      <c r="H135" s="126"/>
      <c r="I135" s="268">
        <f t="shared" si="2"/>
        <v>162.75</v>
      </c>
    </row>
    <row r="136" spans="1:9" ht="18.75" customHeight="1">
      <c r="A136" s="185"/>
      <c r="B136" s="7"/>
      <c r="C136" s="144" t="s">
        <v>318</v>
      </c>
      <c r="D136" s="163" t="s">
        <v>319</v>
      </c>
      <c r="E136" s="26">
        <v>844974.28</v>
      </c>
      <c r="F136" s="126"/>
      <c r="G136" s="26">
        <f>874481+5404</f>
        <v>879885</v>
      </c>
      <c r="H136" s="126"/>
      <c r="I136" s="268">
        <f t="shared" si="2"/>
        <v>104.13157191009412</v>
      </c>
    </row>
    <row r="137" spans="1:9" ht="39" customHeight="1">
      <c r="A137" s="185"/>
      <c r="B137" s="7"/>
      <c r="C137" s="139">
        <v>2030</v>
      </c>
      <c r="D137" s="163" t="s">
        <v>260</v>
      </c>
      <c r="E137" s="26">
        <v>3535530</v>
      </c>
      <c r="F137" s="126"/>
      <c r="G137" s="26"/>
      <c r="H137" s="126"/>
      <c r="I137" s="268"/>
    </row>
    <row r="138" spans="1:10" s="53" customFormat="1" ht="21" customHeight="1">
      <c r="A138" s="184"/>
      <c r="B138" s="24">
        <v>80110</v>
      </c>
      <c r="C138" s="132"/>
      <c r="D138" s="193" t="s">
        <v>350</v>
      </c>
      <c r="E138" s="28">
        <f>SUM(E139:E143)</f>
        <v>262255.13</v>
      </c>
      <c r="F138" s="28">
        <f>SUM(F139:F143)</f>
        <v>223319.13</v>
      </c>
      <c r="G138" s="28">
        <f>SUM(G139:G143)</f>
        <v>19231</v>
      </c>
      <c r="H138" s="28">
        <f>SUM(H139:H143)</f>
        <v>0</v>
      </c>
      <c r="I138" s="268">
        <f t="shared" si="2"/>
        <v>7.3329356798473295</v>
      </c>
      <c r="J138" s="356"/>
    </row>
    <row r="139" spans="1:9" s="53" customFormat="1" ht="21" customHeight="1">
      <c r="A139" s="184"/>
      <c r="B139" s="32"/>
      <c r="C139" s="139" t="s">
        <v>467</v>
      </c>
      <c r="D139" s="163" t="s">
        <v>468</v>
      </c>
      <c r="E139" s="26">
        <v>1100</v>
      </c>
      <c r="F139" s="225"/>
      <c r="G139" s="26">
        <v>601</v>
      </c>
      <c r="H139" s="225"/>
      <c r="I139" s="268">
        <f t="shared" si="2"/>
        <v>54.63636363636364</v>
      </c>
    </row>
    <row r="140" spans="1:9" ht="63.75" customHeight="1">
      <c r="A140" s="185"/>
      <c r="B140" s="7"/>
      <c r="C140" s="139" t="s">
        <v>473</v>
      </c>
      <c r="D140" s="163" t="s">
        <v>383</v>
      </c>
      <c r="E140" s="26">
        <v>21736</v>
      </c>
      <c r="F140" s="126"/>
      <c r="G140" s="26">
        <v>13775</v>
      </c>
      <c r="H140" s="126"/>
      <c r="I140" s="268">
        <f t="shared" si="2"/>
        <v>63.37412587412587</v>
      </c>
    </row>
    <row r="141" spans="1:9" ht="22.5" customHeight="1">
      <c r="A141" s="185"/>
      <c r="B141" s="7"/>
      <c r="C141" s="143" t="s">
        <v>334</v>
      </c>
      <c r="D141" s="163" t="s">
        <v>379</v>
      </c>
      <c r="E141" s="26">
        <v>100</v>
      </c>
      <c r="F141" s="126"/>
      <c r="G141" s="26"/>
      <c r="H141" s="126"/>
      <c r="I141" s="268"/>
    </row>
    <row r="142" spans="1:9" ht="21" customHeight="1">
      <c r="A142" s="185"/>
      <c r="B142" s="7"/>
      <c r="C142" s="144" t="s">
        <v>318</v>
      </c>
      <c r="D142" s="163" t="s">
        <v>319</v>
      </c>
      <c r="E142" s="128">
        <v>16000</v>
      </c>
      <c r="F142" s="126"/>
      <c r="G142" s="128">
        <v>4855</v>
      </c>
      <c r="H142" s="126"/>
      <c r="I142" s="268">
        <f t="shared" si="2"/>
        <v>30.343750000000004</v>
      </c>
    </row>
    <row r="143" spans="1:9" ht="53.25" customHeight="1">
      <c r="A143" s="185"/>
      <c r="B143" s="7"/>
      <c r="C143" s="139">
        <v>2010</v>
      </c>
      <c r="D143" s="169" t="s">
        <v>335</v>
      </c>
      <c r="E143" s="26">
        <v>223319.13</v>
      </c>
      <c r="F143" s="26">
        <v>223319.13</v>
      </c>
      <c r="G143" s="26"/>
      <c r="H143" s="26"/>
      <c r="I143" s="268"/>
    </row>
    <row r="144" spans="1:9" s="53" customFormat="1" ht="21" customHeight="1">
      <c r="A144" s="184"/>
      <c r="B144" s="24">
        <v>80148</v>
      </c>
      <c r="C144" s="145"/>
      <c r="D144" s="174" t="s">
        <v>304</v>
      </c>
      <c r="E144" s="239">
        <f>SUM(E145:E147)</f>
        <v>1782170</v>
      </c>
      <c r="F144" s="225"/>
      <c r="G144" s="239">
        <f>SUM(G145:G147)</f>
        <v>1903657</v>
      </c>
      <c r="H144" s="225"/>
      <c r="I144" s="268">
        <f t="shared" si="2"/>
        <v>106.81680198858695</v>
      </c>
    </row>
    <row r="145" spans="1:9" ht="18.75" customHeight="1">
      <c r="A145" s="185"/>
      <c r="B145" s="7"/>
      <c r="C145" s="143" t="s">
        <v>470</v>
      </c>
      <c r="D145" s="163" t="s">
        <v>471</v>
      </c>
      <c r="E145" s="26">
        <v>1602070</v>
      </c>
      <c r="F145" s="126"/>
      <c r="G145" s="26">
        <v>1657104</v>
      </c>
      <c r="H145" s="126"/>
      <c r="I145" s="268">
        <f t="shared" si="2"/>
        <v>103.43518073492419</v>
      </c>
    </row>
    <row r="146" spans="1:9" ht="18.75" customHeight="1">
      <c r="A146" s="185"/>
      <c r="B146" s="7"/>
      <c r="C146" s="143" t="s">
        <v>334</v>
      </c>
      <c r="D146" s="163" t="s">
        <v>379</v>
      </c>
      <c r="E146" s="26">
        <v>100</v>
      </c>
      <c r="F146" s="126"/>
      <c r="G146" s="26"/>
      <c r="H146" s="126"/>
      <c r="I146" s="268">
        <f t="shared" si="2"/>
        <v>0</v>
      </c>
    </row>
    <row r="147" spans="1:9" ht="16.5" customHeight="1">
      <c r="A147" s="185"/>
      <c r="B147" s="7"/>
      <c r="C147" s="144" t="s">
        <v>318</v>
      </c>
      <c r="D147" s="163" t="s">
        <v>319</v>
      </c>
      <c r="E147" s="26">
        <v>180000</v>
      </c>
      <c r="F147" s="126"/>
      <c r="G147" s="26">
        <v>246553</v>
      </c>
      <c r="H147" s="126"/>
      <c r="I147" s="268">
        <f t="shared" si="2"/>
        <v>136.9738888888889</v>
      </c>
    </row>
    <row r="148" spans="1:9" ht="74.25" customHeight="1">
      <c r="A148" s="185"/>
      <c r="B148" s="24">
        <v>80150</v>
      </c>
      <c r="C148" s="24"/>
      <c r="D148" s="174" t="s">
        <v>415</v>
      </c>
      <c r="E148" s="28">
        <f>E149</f>
        <v>14857.39</v>
      </c>
      <c r="F148" s="28">
        <f>F149</f>
        <v>14857.39</v>
      </c>
      <c r="G148" s="28">
        <f>G149</f>
        <v>0</v>
      </c>
      <c r="H148" s="28">
        <f>H149</f>
        <v>0</v>
      </c>
      <c r="I148" s="268"/>
    </row>
    <row r="149" spans="1:9" ht="51" customHeight="1">
      <c r="A149" s="185"/>
      <c r="B149" s="7"/>
      <c r="C149" s="139">
        <v>2010</v>
      </c>
      <c r="D149" s="169" t="s">
        <v>335</v>
      </c>
      <c r="E149" s="26">
        <v>14857.39</v>
      </c>
      <c r="F149" s="52">
        <v>14857.39</v>
      </c>
      <c r="G149" s="52"/>
      <c r="H149" s="52"/>
      <c r="I149" s="268"/>
    </row>
    <row r="150" spans="1:9" ht="16.5" customHeight="1">
      <c r="A150" s="185"/>
      <c r="B150" s="13">
        <v>80195</v>
      </c>
      <c r="C150" s="144"/>
      <c r="D150" s="163" t="s">
        <v>343</v>
      </c>
      <c r="E150" s="127">
        <f>SUM(E151:E153)</f>
        <v>313110.1</v>
      </c>
      <c r="F150" s="126"/>
      <c r="G150" s="127">
        <v>0</v>
      </c>
      <c r="H150" s="126"/>
      <c r="I150" s="268"/>
    </row>
    <row r="151" spans="1:9" ht="86.25" customHeight="1">
      <c r="A151" s="185"/>
      <c r="B151" s="13"/>
      <c r="C151" s="328">
        <v>2007</v>
      </c>
      <c r="D151" s="163" t="s">
        <v>402</v>
      </c>
      <c r="E151" s="26">
        <v>93090.73</v>
      </c>
      <c r="F151" s="126"/>
      <c r="G151" s="26"/>
      <c r="H151" s="126"/>
      <c r="I151" s="268"/>
    </row>
    <row r="152" spans="1:9" ht="78" customHeight="1">
      <c r="A152" s="185"/>
      <c r="B152" s="7"/>
      <c r="C152" s="328">
        <v>2009</v>
      </c>
      <c r="D152" s="163" t="s">
        <v>402</v>
      </c>
      <c r="E152" s="26">
        <v>5637.38</v>
      </c>
      <c r="F152" s="126"/>
      <c r="G152" s="26"/>
      <c r="H152" s="126"/>
      <c r="I152" s="268"/>
    </row>
    <row r="153" spans="1:9" ht="54" customHeight="1">
      <c r="A153" s="185"/>
      <c r="B153" s="1"/>
      <c r="C153" s="143">
        <v>2701</v>
      </c>
      <c r="D153" s="163" t="s">
        <v>482</v>
      </c>
      <c r="E153" s="26">
        <v>214381.99</v>
      </c>
      <c r="F153" s="126"/>
      <c r="G153" s="26"/>
      <c r="H153" s="126"/>
      <c r="I153" s="268"/>
    </row>
    <row r="154" spans="1:9" ht="20.25" customHeight="1">
      <c r="A154" s="130">
        <v>851</v>
      </c>
      <c r="B154" s="6"/>
      <c r="C154" s="130"/>
      <c r="D154" s="173" t="s">
        <v>306</v>
      </c>
      <c r="E154" s="83">
        <f>E155+E158</f>
        <v>374350</v>
      </c>
      <c r="F154" s="126"/>
      <c r="G154" s="83">
        <f>G155+G158</f>
        <v>0</v>
      </c>
      <c r="H154" s="126"/>
      <c r="I154" s="361">
        <f t="shared" si="2"/>
        <v>0</v>
      </c>
    </row>
    <row r="155" spans="1:9" ht="20.25" customHeight="1">
      <c r="A155" s="188"/>
      <c r="B155" s="330">
        <v>85154</v>
      </c>
      <c r="C155" s="53"/>
      <c r="D155" s="331" t="s">
        <v>190</v>
      </c>
      <c r="E155" s="239">
        <f>SUM(E156:E157)</f>
        <v>43000</v>
      </c>
      <c r="F155" s="225"/>
      <c r="G155" s="239">
        <f>SUM(G156:G157)</f>
        <v>0</v>
      </c>
      <c r="H155" s="225"/>
      <c r="I155" s="268"/>
    </row>
    <row r="156" spans="1:9" ht="48" customHeight="1">
      <c r="A156" s="188"/>
      <c r="B156" s="332"/>
      <c r="C156" s="333">
        <v>2310</v>
      </c>
      <c r="D156" s="325" t="s">
        <v>125</v>
      </c>
      <c r="E156" s="127">
        <v>10000</v>
      </c>
      <c r="F156" s="126"/>
      <c r="G156" s="127"/>
      <c r="H156" s="126"/>
      <c r="I156" s="268"/>
    </row>
    <row r="157" spans="1:9" ht="52.5" customHeight="1">
      <c r="A157" s="188"/>
      <c r="B157" s="329"/>
      <c r="C157" s="144">
        <v>2710</v>
      </c>
      <c r="D157" s="195" t="s">
        <v>298</v>
      </c>
      <c r="E157" s="127">
        <v>33000</v>
      </c>
      <c r="F157" s="126"/>
      <c r="G157" s="127"/>
      <c r="H157" s="126"/>
      <c r="I157" s="268"/>
    </row>
    <row r="158" spans="1:9" s="53" customFormat="1" ht="21.75" customHeight="1">
      <c r="A158" s="181"/>
      <c r="B158" s="27">
        <v>85158</v>
      </c>
      <c r="C158" s="138"/>
      <c r="D158" s="193" t="s">
        <v>366</v>
      </c>
      <c r="E158" s="239">
        <f>SUM(E159:E162)</f>
        <v>331350</v>
      </c>
      <c r="F158" s="225"/>
      <c r="G158" s="239">
        <f>SUM(G159:G162)</f>
        <v>0</v>
      </c>
      <c r="H158" s="225"/>
      <c r="I158" s="268"/>
    </row>
    <row r="159" spans="1:9" ht="18.75" customHeight="1">
      <c r="A159" s="182"/>
      <c r="B159" s="15"/>
      <c r="C159" s="143" t="s">
        <v>470</v>
      </c>
      <c r="D159" s="163" t="s">
        <v>471</v>
      </c>
      <c r="E159" s="26">
        <v>226600</v>
      </c>
      <c r="F159" s="126"/>
      <c r="G159" s="26"/>
      <c r="H159" s="126"/>
      <c r="I159" s="268"/>
    </row>
    <row r="160" spans="1:9" ht="17.25" customHeight="1">
      <c r="A160" s="182"/>
      <c r="B160" s="17"/>
      <c r="C160" s="143" t="s">
        <v>334</v>
      </c>
      <c r="D160" s="163" t="s">
        <v>379</v>
      </c>
      <c r="E160" s="26">
        <v>20</v>
      </c>
      <c r="F160" s="126"/>
      <c r="G160" s="26"/>
      <c r="H160" s="126"/>
      <c r="I160" s="268"/>
    </row>
    <row r="161" spans="1:9" ht="18.75" customHeight="1">
      <c r="A161" s="182"/>
      <c r="B161" s="17"/>
      <c r="C161" s="144" t="s">
        <v>318</v>
      </c>
      <c r="D161" s="163" t="s">
        <v>319</v>
      </c>
      <c r="E161" s="26">
        <v>7730</v>
      </c>
      <c r="F161" s="126"/>
      <c r="G161" s="26"/>
      <c r="H161" s="126"/>
      <c r="I161" s="268"/>
    </row>
    <row r="162" spans="1:9" ht="47.25" customHeight="1">
      <c r="A162" s="182"/>
      <c r="B162" s="17"/>
      <c r="C162" s="144">
        <v>2710</v>
      </c>
      <c r="D162" s="195" t="s">
        <v>298</v>
      </c>
      <c r="E162" s="26">
        <v>97000</v>
      </c>
      <c r="F162" s="87"/>
      <c r="G162" s="26"/>
      <c r="H162" s="87"/>
      <c r="I162" s="268"/>
    </row>
    <row r="163" spans="1:9" ht="22.5" customHeight="1">
      <c r="A163" s="130">
        <v>852</v>
      </c>
      <c r="B163" s="11"/>
      <c r="C163" s="130"/>
      <c r="D163" s="170" t="s">
        <v>422</v>
      </c>
      <c r="E163" s="33">
        <f>E164+E168+E171+E173+E176+E179+E182+E184+E186+E190+E192+E197+E199</f>
        <v>36661316</v>
      </c>
      <c r="F163" s="33">
        <f>F164+F168+F171+F173+F176+F179+F182+F184+F186+F190+F192+F197+F199</f>
        <v>23764238</v>
      </c>
      <c r="G163" s="33">
        <f>G164+G168+G171+G173+G176+G179+G182+G184+G186+G190+G192+G197+G199</f>
        <v>29338137</v>
      </c>
      <c r="H163" s="33">
        <f>H164+H168+H171+H173+H176+H179+H182+H184+H186+H190+H192+H197+H199</f>
        <v>23454275</v>
      </c>
      <c r="I163" s="361">
        <f t="shared" si="2"/>
        <v>80.02477870679819</v>
      </c>
    </row>
    <row r="164" spans="1:9" s="53" customFormat="1" ht="22.5" customHeight="1">
      <c r="A164" s="181"/>
      <c r="B164" s="27">
        <v>85202</v>
      </c>
      <c r="C164" s="138"/>
      <c r="D164" s="193" t="s">
        <v>553</v>
      </c>
      <c r="E164" s="90">
        <f>SUM(E165:E167)</f>
        <v>333600</v>
      </c>
      <c r="F164" s="224"/>
      <c r="G164" s="90">
        <f>SUM(G165:G167)</f>
        <v>333600</v>
      </c>
      <c r="H164" s="224"/>
      <c r="I164" s="268">
        <f t="shared" si="2"/>
        <v>100</v>
      </c>
    </row>
    <row r="165" spans="1:9" s="53" customFormat="1" ht="22.5" customHeight="1">
      <c r="A165" s="184"/>
      <c r="B165" s="31"/>
      <c r="C165" s="139" t="s">
        <v>467</v>
      </c>
      <c r="D165" s="163" t="s">
        <v>468</v>
      </c>
      <c r="E165" s="52">
        <v>100</v>
      </c>
      <c r="F165" s="177"/>
      <c r="G165" s="52">
        <v>100</v>
      </c>
      <c r="H165" s="224"/>
      <c r="I165" s="268">
        <f t="shared" si="2"/>
        <v>100</v>
      </c>
    </row>
    <row r="166" spans="1:9" ht="22.5" customHeight="1">
      <c r="A166" s="187"/>
      <c r="B166" s="51"/>
      <c r="C166" s="143" t="s">
        <v>470</v>
      </c>
      <c r="D166" s="163" t="s">
        <v>471</v>
      </c>
      <c r="E166" s="52">
        <v>333000</v>
      </c>
      <c r="F166" s="177"/>
      <c r="G166" s="52">
        <v>333000</v>
      </c>
      <c r="H166" s="177"/>
      <c r="I166" s="268">
        <f t="shared" si="2"/>
        <v>100</v>
      </c>
    </row>
    <row r="167" spans="1:9" ht="22.5" customHeight="1">
      <c r="A167" s="187"/>
      <c r="B167" s="5"/>
      <c r="C167" s="143" t="s">
        <v>334</v>
      </c>
      <c r="D167" s="163" t="s">
        <v>379</v>
      </c>
      <c r="E167" s="52">
        <v>500</v>
      </c>
      <c r="F167" s="177"/>
      <c r="G167" s="52">
        <v>500</v>
      </c>
      <c r="H167" s="177"/>
      <c r="I167" s="268">
        <f t="shared" si="2"/>
        <v>100</v>
      </c>
    </row>
    <row r="168" spans="1:9" s="53" customFormat="1" ht="22.5" customHeight="1">
      <c r="A168" s="181"/>
      <c r="B168" s="35">
        <v>85203</v>
      </c>
      <c r="C168" s="138"/>
      <c r="D168" s="193" t="s">
        <v>469</v>
      </c>
      <c r="E168" s="90">
        <f>SUM(E169:E170)</f>
        <v>401290</v>
      </c>
      <c r="F168" s="224">
        <f>SUM(F169:F170)</f>
        <v>401240</v>
      </c>
      <c r="G168" s="90">
        <f>SUM(G169:G170)</f>
        <v>475350</v>
      </c>
      <c r="H168" s="224">
        <f>SUM(H169:H170)</f>
        <v>475200</v>
      </c>
      <c r="I168" s="268">
        <f t="shared" si="2"/>
        <v>118.45548107353785</v>
      </c>
    </row>
    <row r="169" spans="1:9" ht="57" customHeight="1">
      <c r="A169" s="185"/>
      <c r="B169" s="13"/>
      <c r="C169" s="143">
        <v>2010</v>
      </c>
      <c r="D169" s="163" t="s">
        <v>335</v>
      </c>
      <c r="E169" s="52">
        <v>401240</v>
      </c>
      <c r="F169" s="177">
        <v>401240</v>
      </c>
      <c r="G169" s="52">
        <v>475200</v>
      </c>
      <c r="H169" s="177">
        <v>475200</v>
      </c>
      <c r="I169" s="361">
        <f t="shared" si="2"/>
        <v>118.43285813976672</v>
      </c>
    </row>
    <row r="170" spans="1:9" ht="52.5" customHeight="1">
      <c r="A170" s="185"/>
      <c r="B170" s="1"/>
      <c r="C170" s="139">
        <v>2360</v>
      </c>
      <c r="D170" s="163" t="s">
        <v>336</v>
      </c>
      <c r="E170" s="52">
        <v>50</v>
      </c>
      <c r="F170" s="177"/>
      <c r="G170" s="52">
        <v>150</v>
      </c>
      <c r="H170" s="177"/>
      <c r="I170" s="268"/>
    </row>
    <row r="171" spans="1:9" s="53" customFormat="1" ht="25.5" customHeight="1">
      <c r="A171" s="184"/>
      <c r="B171" s="24">
        <v>85206</v>
      </c>
      <c r="C171" s="138"/>
      <c r="D171" s="193" t="s">
        <v>536</v>
      </c>
      <c r="E171" s="90">
        <f>E172</f>
        <v>52616</v>
      </c>
      <c r="F171" s="224"/>
      <c r="G171" s="90">
        <f>G172</f>
        <v>0</v>
      </c>
      <c r="H171" s="224"/>
      <c r="I171" s="377"/>
    </row>
    <row r="172" spans="1:9" ht="42.75" customHeight="1">
      <c r="A172" s="185"/>
      <c r="B172" s="1"/>
      <c r="C172" s="139">
        <v>2030</v>
      </c>
      <c r="D172" s="163" t="s">
        <v>260</v>
      </c>
      <c r="E172" s="52">
        <v>52616</v>
      </c>
      <c r="F172" s="177"/>
      <c r="G172" s="52"/>
      <c r="H172" s="177"/>
      <c r="I172" s="268"/>
    </row>
    <row r="173" spans="1:9" s="53" customFormat="1" ht="49.5" customHeight="1">
      <c r="A173" s="181"/>
      <c r="B173" s="24">
        <v>85212</v>
      </c>
      <c r="C173" s="138"/>
      <c r="D173" s="193" t="s">
        <v>234</v>
      </c>
      <c r="E173" s="90">
        <f>SUM(E174:E175)</f>
        <v>22940720</v>
      </c>
      <c r="F173" s="224">
        <f>SUM(F174:F175)</f>
        <v>22695000</v>
      </c>
      <c r="G173" s="90">
        <f>SUM(G174:G175)</f>
        <v>22850370</v>
      </c>
      <c r="H173" s="359">
        <f>SUM(H174:H175)</f>
        <v>22604650</v>
      </c>
      <c r="I173" s="268">
        <f t="shared" si="2"/>
        <v>99.60615883023723</v>
      </c>
    </row>
    <row r="174" spans="1:9" ht="58.5" customHeight="1">
      <c r="A174" s="185"/>
      <c r="B174" s="7"/>
      <c r="C174" s="143">
        <v>2010</v>
      </c>
      <c r="D174" s="163" t="s">
        <v>335</v>
      </c>
      <c r="E174" s="52">
        <f>19746425+2948575</f>
        <v>22695000</v>
      </c>
      <c r="F174" s="177">
        <f>2948575+19746425</f>
        <v>22695000</v>
      </c>
      <c r="G174" s="52">
        <v>22604650</v>
      </c>
      <c r="H174" s="177">
        <v>22604650</v>
      </c>
      <c r="I174" s="268">
        <f t="shared" si="2"/>
        <v>99.60189469046045</v>
      </c>
    </row>
    <row r="175" spans="1:9" ht="50.25" customHeight="1">
      <c r="A175" s="185"/>
      <c r="B175" s="7"/>
      <c r="C175" s="139">
        <v>2360</v>
      </c>
      <c r="D175" s="163" t="s">
        <v>336</v>
      </c>
      <c r="E175" s="52">
        <f>184290+61430</f>
        <v>245720</v>
      </c>
      <c r="F175" s="177"/>
      <c r="G175" s="52">
        <v>245720</v>
      </c>
      <c r="H175" s="177"/>
      <c r="I175" s="268">
        <f t="shared" si="2"/>
        <v>100</v>
      </c>
    </row>
    <row r="176" spans="1:9" s="53" customFormat="1" ht="69.75" customHeight="1">
      <c r="A176" s="181"/>
      <c r="B176" s="24">
        <v>85213</v>
      </c>
      <c r="C176" s="138"/>
      <c r="D176" s="193" t="s">
        <v>267</v>
      </c>
      <c r="E176" s="90">
        <f>SUM(E177:E178)</f>
        <v>406000</v>
      </c>
      <c r="F176" s="90">
        <f>SUM(F177:F178)</f>
        <v>200000</v>
      </c>
      <c r="G176" s="90">
        <f>SUM(G177:G178)</f>
        <v>233472</v>
      </c>
      <c r="H176" s="90">
        <f>SUM(H177:H178)</f>
        <v>99942</v>
      </c>
      <c r="I176" s="268">
        <f t="shared" si="2"/>
        <v>57.50541871921182</v>
      </c>
    </row>
    <row r="177" spans="1:9" ht="49.5" customHeight="1">
      <c r="A177" s="182"/>
      <c r="B177" s="9"/>
      <c r="C177" s="139">
        <v>2010</v>
      </c>
      <c r="D177" s="163" t="s">
        <v>335</v>
      </c>
      <c r="E177" s="52">
        <v>200000</v>
      </c>
      <c r="F177" s="177">
        <v>200000</v>
      </c>
      <c r="G177" s="52">
        <v>99942</v>
      </c>
      <c r="H177" s="177">
        <v>99942</v>
      </c>
      <c r="I177" s="268">
        <f t="shared" si="2"/>
        <v>49.971</v>
      </c>
    </row>
    <row r="178" spans="1:9" ht="37.5" customHeight="1">
      <c r="A178" s="182"/>
      <c r="B178" s="9"/>
      <c r="C178" s="139">
        <v>2030</v>
      </c>
      <c r="D178" s="163" t="s">
        <v>260</v>
      </c>
      <c r="E178" s="52">
        <f>28594+177406</f>
        <v>206000</v>
      </c>
      <c r="F178" s="177"/>
      <c r="G178" s="52">
        <v>133530</v>
      </c>
      <c r="H178" s="177"/>
      <c r="I178" s="268">
        <f t="shared" si="2"/>
        <v>64.82038834951457</v>
      </c>
    </row>
    <row r="179" spans="1:9" s="53" customFormat="1" ht="33.75" customHeight="1">
      <c r="A179" s="181"/>
      <c r="B179" s="23">
        <v>85214</v>
      </c>
      <c r="C179" s="138"/>
      <c r="D179" s="193" t="s">
        <v>368</v>
      </c>
      <c r="E179" s="90">
        <f>SUM(E180:E181)</f>
        <v>5120500</v>
      </c>
      <c r="F179" s="221"/>
      <c r="G179" s="90">
        <f>SUM(G180:G181)</f>
        <v>2699300</v>
      </c>
      <c r="H179" s="221"/>
      <c r="I179" s="268">
        <f t="shared" si="2"/>
        <v>52.715555121570155</v>
      </c>
    </row>
    <row r="180" spans="1:9" ht="21" customHeight="1">
      <c r="A180" s="182"/>
      <c r="B180" s="9"/>
      <c r="C180" s="139" t="s">
        <v>318</v>
      </c>
      <c r="D180" s="163" t="s">
        <v>319</v>
      </c>
      <c r="E180" s="52">
        <v>500</v>
      </c>
      <c r="F180" s="126"/>
      <c r="G180" s="52">
        <v>600</v>
      </c>
      <c r="H180" s="126"/>
      <c r="I180" s="268">
        <f t="shared" si="2"/>
        <v>120</v>
      </c>
    </row>
    <row r="181" spans="1:9" ht="34.5" customHeight="1">
      <c r="A181" s="182"/>
      <c r="B181" s="9"/>
      <c r="C181" s="139">
        <v>2030</v>
      </c>
      <c r="D181" s="163" t="s">
        <v>260</v>
      </c>
      <c r="E181" s="52">
        <f>1455000+3665000</f>
        <v>5120000</v>
      </c>
      <c r="F181" s="87"/>
      <c r="G181" s="52">
        <v>2698700</v>
      </c>
      <c r="H181" s="87"/>
      <c r="I181" s="268">
        <f t="shared" si="2"/>
        <v>52.708984375</v>
      </c>
    </row>
    <row r="182" spans="1:9" ht="24" customHeight="1">
      <c r="A182" s="182"/>
      <c r="B182" s="334">
        <v>85215</v>
      </c>
      <c r="C182" s="317"/>
      <c r="D182" s="335" t="s">
        <v>503</v>
      </c>
      <c r="E182" s="28">
        <f>E183</f>
        <v>64800</v>
      </c>
      <c r="F182" s="28">
        <f>F183</f>
        <v>64800</v>
      </c>
      <c r="G182" s="28">
        <f>G183</f>
        <v>0</v>
      </c>
      <c r="H182" s="28">
        <f>H183</f>
        <v>0</v>
      </c>
      <c r="I182" s="268"/>
    </row>
    <row r="183" spans="1:9" ht="52.5" customHeight="1">
      <c r="A183" s="182"/>
      <c r="B183" s="9"/>
      <c r="C183" s="324">
        <v>2010</v>
      </c>
      <c r="D183" s="325" t="s">
        <v>335</v>
      </c>
      <c r="E183" s="26">
        <v>64800</v>
      </c>
      <c r="F183" s="52">
        <v>64800</v>
      </c>
      <c r="G183" s="26"/>
      <c r="H183" s="52"/>
      <c r="I183" s="268"/>
    </row>
    <row r="184" spans="1:9" ht="24" customHeight="1">
      <c r="A184" s="182"/>
      <c r="B184" s="24">
        <v>85216</v>
      </c>
      <c r="C184" s="138"/>
      <c r="D184" s="193" t="s">
        <v>518</v>
      </c>
      <c r="E184" s="239">
        <f>E185</f>
        <v>2671959</v>
      </c>
      <c r="F184" s="126"/>
      <c r="G184" s="239">
        <f>G185</f>
        <v>1382868</v>
      </c>
      <c r="H184" s="126"/>
      <c r="I184" s="268">
        <f t="shared" si="2"/>
        <v>51.75483605848742</v>
      </c>
    </row>
    <row r="185" spans="1:9" ht="39.75" customHeight="1">
      <c r="A185" s="182"/>
      <c r="B185" s="9"/>
      <c r="C185" s="139">
        <v>2030</v>
      </c>
      <c r="D185" s="163" t="s">
        <v>260</v>
      </c>
      <c r="E185" s="26">
        <f>353784+2318175</f>
        <v>2671959</v>
      </c>
      <c r="F185" s="52"/>
      <c r="G185" s="26">
        <v>1382868</v>
      </c>
      <c r="H185" s="52"/>
      <c r="I185" s="268">
        <f t="shared" si="2"/>
        <v>51.75483605848742</v>
      </c>
    </row>
    <row r="186" spans="1:9" s="53" customFormat="1" ht="21.75" customHeight="1">
      <c r="A186" s="181"/>
      <c r="B186" s="23">
        <v>85219</v>
      </c>
      <c r="C186" s="138"/>
      <c r="D186" s="193" t="s">
        <v>369</v>
      </c>
      <c r="E186" s="28">
        <f>SUM(E187:E189)</f>
        <v>1272683</v>
      </c>
      <c r="F186" s="90">
        <f>SUM(F187:F189)</f>
        <v>57650</v>
      </c>
      <c r="G186" s="28">
        <f>SUM(G187:G189)</f>
        <v>751344</v>
      </c>
      <c r="H186" s="90">
        <f>SUM(H187:H189)</f>
        <v>0</v>
      </c>
      <c r="I186" s="268">
        <f t="shared" si="2"/>
        <v>59.03622504582838</v>
      </c>
    </row>
    <row r="187" spans="1:9" ht="20.25" customHeight="1">
      <c r="A187" s="182"/>
      <c r="B187" s="9"/>
      <c r="C187" s="139" t="s">
        <v>318</v>
      </c>
      <c r="D187" s="163" t="s">
        <v>319</v>
      </c>
      <c r="E187" s="52">
        <v>2000</v>
      </c>
      <c r="F187" s="52"/>
      <c r="G187" s="52">
        <v>6000</v>
      </c>
      <c r="H187" s="52"/>
      <c r="I187" s="268"/>
    </row>
    <row r="188" spans="1:9" ht="50.25" customHeight="1">
      <c r="A188" s="182"/>
      <c r="B188" s="9"/>
      <c r="C188" s="324">
        <v>2010</v>
      </c>
      <c r="D188" s="325" t="s">
        <v>335</v>
      </c>
      <c r="E188" s="52">
        <v>57650</v>
      </c>
      <c r="F188" s="52">
        <v>57650</v>
      </c>
      <c r="G188" s="52"/>
      <c r="H188" s="52"/>
      <c r="I188" s="268"/>
    </row>
    <row r="189" spans="1:9" ht="42.75" customHeight="1">
      <c r="A189" s="182"/>
      <c r="B189" s="9"/>
      <c r="C189" s="139">
        <v>2030</v>
      </c>
      <c r="D189" s="163" t="s">
        <v>260</v>
      </c>
      <c r="E189" s="52">
        <f>104700+1108333</f>
        <v>1213033</v>
      </c>
      <c r="F189" s="52"/>
      <c r="G189" s="52">
        <v>745344</v>
      </c>
      <c r="H189" s="52"/>
      <c r="I189" s="268">
        <f t="shared" si="2"/>
        <v>61.44465979078887</v>
      </c>
    </row>
    <row r="190" spans="1:9" ht="39" customHeight="1">
      <c r="A190" s="182"/>
      <c r="B190" s="24">
        <v>85220</v>
      </c>
      <c r="C190" s="145"/>
      <c r="D190" s="193" t="s">
        <v>259</v>
      </c>
      <c r="E190" s="90">
        <f>E191</f>
        <v>1000</v>
      </c>
      <c r="F190" s="87"/>
      <c r="G190" s="90">
        <f>G191</f>
        <v>1200</v>
      </c>
      <c r="H190" s="87"/>
      <c r="I190" s="268">
        <f t="shared" si="2"/>
        <v>120</v>
      </c>
    </row>
    <row r="191" spans="1:9" ht="21.75" customHeight="1">
      <c r="A191" s="182"/>
      <c r="B191" s="17"/>
      <c r="C191" s="143" t="s">
        <v>318</v>
      </c>
      <c r="D191" s="163" t="s">
        <v>319</v>
      </c>
      <c r="E191" s="52">
        <v>1000</v>
      </c>
      <c r="F191" s="87"/>
      <c r="G191" s="52">
        <v>1200</v>
      </c>
      <c r="H191" s="87"/>
      <c r="I191" s="268">
        <f t="shared" si="2"/>
        <v>120</v>
      </c>
    </row>
    <row r="192" spans="1:9" s="53" customFormat="1" ht="28.5" customHeight="1">
      <c r="A192" s="181"/>
      <c r="B192" s="23">
        <v>85228</v>
      </c>
      <c r="C192" s="138"/>
      <c r="D192" s="193" t="s">
        <v>112</v>
      </c>
      <c r="E192" s="90">
        <f>SUM(E193:E196)</f>
        <v>615450</v>
      </c>
      <c r="F192" s="90">
        <f>SUM(F193:F196)</f>
        <v>324450</v>
      </c>
      <c r="G192" s="90">
        <f>SUM(G193:G196)</f>
        <v>570633</v>
      </c>
      <c r="H192" s="90">
        <f>SUM(H193:H196)</f>
        <v>274483</v>
      </c>
      <c r="I192" s="268">
        <f t="shared" si="2"/>
        <v>92.7180112113088</v>
      </c>
    </row>
    <row r="193" spans="1:9" s="53" customFormat="1" ht="21.75" customHeight="1">
      <c r="A193" s="181"/>
      <c r="B193" s="29"/>
      <c r="C193" s="139" t="s">
        <v>467</v>
      </c>
      <c r="D193" s="163" t="s">
        <v>468</v>
      </c>
      <c r="E193" s="52">
        <v>500</v>
      </c>
      <c r="F193" s="177"/>
      <c r="G193" s="52">
        <v>500</v>
      </c>
      <c r="H193" s="224"/>
      <c r="I193" s="268"/>
    </row>
    <row r="194" spans="1:9" ht="19.5" customHeight="1">
      <c r="A194" s="182"/>
      <c r="B194" s="9"/>
      <c r="C194" s="139" t="s">
        <v>470</v>
      </c>
      <c r="D194" s="163" t="s">
        <v>471</v>
      </c>
      <c r="E194" s="52">
        <v>290000</v>
      </c>
      <c r="F194" s="177"/>
      <c r="G194" s="52">
        <v>295000</v>
      </c>
      <c r="H194" s="177"/>
      <c r="I194" s="268">
        <f t="shared" si="2"/>
        <v>101.72413793103448</v>
      </c>
    </row>
    <row r="195" spans="1:9" ht="54" customHeight="1">
      <c r="A195" s="182"/>
      <c r="B195" s="9"/>
      <c r="C195" s="139">
        <v>2010</v>
      </c>
      <c r="D195" s="163" t="s">
        <v>335</v>
      </c>
      <c r="E195" s="52">
        <f>14900+309550</f>
        <v>324450</v>
      </c>
      <c r="F195" s="177">
        <f>14900+309550</f>
        <v>324450</v>
      </c>
      <c r="G195" s="52">
        <v>274483</v>
      </c>
      <c r="H195" s="177">
        <v>274483</v>
      </c>
      <c r="I195" s="268">
        <f aca="true" t="shared" si="3" ref="I195:I285">G195/E195*100</f>
        <v>84.59947603636924</v>
      </c>
    </row>
    <row r="196" spans="1:9" ht="51" customHeight="1">
      <c r="A196" s="182"/>
      <c r="B196" s="9"/>
      <c r="C196" s="139">
        <v>2360</v>
      </c>
      <c r="D196" s="163" t="s">
        <v>336</v>
      </c>
      <c r="E196" s="52">
        <v>500</v>
      </c>
      <c r="F196" s="177"/>
      <c r="G196" s="52">
        <v>650</v>
      </c>
      <c r="H196" s="177"/>
      <c r="I196" s="268">
        <f t="shared" si="3"/>
        <v>130</v>
      </c>
    </row>
    <row r="197" spans="1:9" s="53" customFormat="1" ht="24.75" customHeight="1">
      <c r="A197" s="181"/>
      <c r="B197" s="24">
        <v>85278</v>
      </c>
      <c r="C197" s="138"/>
      <c r="D197" s="193" t="s">
        <v>160</v>
      </c>
      <c r="E197" s="90">
        <f>E198</f>
        <v>15600</v>
      </c>
      <c r="F197" s="90">
        <f>F198</f>
        <v>15600</v>
      </c>
      <c r="G197" s="90">
        <f>G198</f>
        <v>0</v>
      </c>
      <c r="H197" s="90">
        <f>H198</f>
        <v>0</v>
      </c>
      <c r="I197" s="377"/>
    </row>
    <row r="198" spans="1:9" ht="51" customHeight="1">
      <c r="A198" s="182"/>
      <c r="B198" s="9"/>
      <c r="C198" s="139">
        <v>2010</v>
      </c>
      <c r="D198" s="163" t="s">
        <v>335</v>
      </c>
      <c r="E198" s="52">
        <v>15600</v>
      </c>
      <c r="F198" s="177">
        <v>15600</v>
      </c>
      <c r="G198" s="52"/>
      <c r="H198" s="177"/>
      <c r="I198" s="268"/>
    </row>
    <row r="199" spans="1:9" s="53" customFormat="1" ht="20.25" customHeight="1">
      <c r="A199" s="181"/>
      <c r="B199" s="23">
        <v>85295</v>
      </c>
      <c r="C199" s="138"/>
      <c r="D199" s="193" t="s">
        <v>343</v>
      </c>
      <c r="E199" s="90">
        <f>SUM(E200:E205)</f>
        <v>2765098</v>
      </c>
      <c r="F199" s="90">
        <f>SUM(F200:F205)</f>
        <v>5498</v>
      </c>
      <c r="G199" s="90">
        <f>SUM(G200:G205)</f>
        <v>40000</v>
      </c>
      <c r="H199" s="90">
        <f>SUM(H200:H205)</f>
        <v>0</v>
      </c>
      <c r="I199" s="268">
        <f t="shared" si="3"/>
        <v>1.446603339194488</v>
      </c>
    </row>
    <row r="200" spans="1:9" ht="38.25" customHeight="1">
      <c r="A200" s="182"/>
      <c r="B200" s="9"/>
      <c r="C200" s="139" t="s">
        <v>166</v>
      </c>
      <c r="D200" s="163" t="s">
        <v>154</v>
      </c>
      <c r="E200" s="52"/>
      <c r="F200" s="72"/>
      <c r="G200" s="52">
        <v>3000</v>
      </c>
      <c r="H200" s="72"/>
      <c r="I200" s="268"/>
    </row>
    <row r="201" spans="1:9" s="53" customFormat="1" ht="20.25" customHeight="1">
      <c r="A201" s="181"/>
      <c r="B201" s="29"/>
      <c r="C201" s="139" t="s">
        <v>467</v>
      </c>
      <c r="D201" s="163" t="s">
        <v>468</v>
      </c>
      <c r="E201" s="52">
        <v>500</v>
      </c>
      <c r="F201" s="72"/>
      <c r="G201" s="52"/>
      <c r="H201" s="166"/>
      <c r="I201" s="268"/>
    </row>
    <row r="202" spans="1:9" s="53" customFormat="1" ht="20.25" customHeight="1">
      <c r="A202" s="181"/>
      <c r="B202" s="29"/>
      <c r="C202" s="139" t="s">
        <v>470</v>
      </c>
      <c r="D202" s="163" t="s">
        <v>471</v>
      </c>
      <c r="E202" s="52">
        <v>0</v>
      </c>
      <c r="F202" s="72"/>
      <c r="G202" s="52">
        <v>12000</v>
      </c>
      <c r="H202" s="166"/>
      <c r="I202" s="268"/>
    </row>
    <row r="203" spans="1:9" ht="20.25" customHeight="1">
      <c r="A203" s="182"/>
      <c r="B203" s="9"/>
      <c r="C203" s="139" t="s">
        <v>318</v>
      </c>
      <c r="D203" s="163" t="s">
        <v>319</v>
      </c>
      <c r="E203" s="52">
        <v>35000</v>
      </c>
      <c r="F203" s="72"/>
      <c r="G203" s="52">
        <v>25000</v>
      </c>
      <c r="H203" s="72"/>
      <c r="I203" s="268">
        <f t="shared" si="3"/>
        <v>71.42857142857143</v>
      </c>
    </row>
    <row r="204" spans="1:9" ht="53.25" customHeight="1">
      <c r="A204" s="182"/>
      <c r="B204" s="9"/>
      <c r="C204" s="139">
        <v>2010</v>
      </c>
      <c r="D204" s="163" t="s">
        <v>335</v>
      </c>
      <c r="E204" s="26">
        <f>300+5198</f>
        <v>5498</v>
      </c>
      <c r="F204" s="72">
        <f>300+5198</f>
        <v>5498</v>
      </c>
      <c r="G204" s="26"/>
      <c r="H204" s="72"/>
      <c r="I204" s="268"/>
    </row>
    <row r="205" spans="1:9" ht="44.25" customHeight="1">
      <c r="A205" s="182"/>
      <c r="B205" s="9"/>
      <c r="C205" s="139">
        <v>2030</v>
      </c>
      <c r="D205" s="163" t="s">
        <v>260</v>
      </c>
      <c r="E205" s="26">
        <v>2724100</v>
      </c>
      <c r="F205" s="72"/>
      <c r="G205" s="26"/>
      <c r="H205" s="72"/>
      <c r="I205" s="268"/>
    </row>
    <row r="206" spans="1:9" ht="26.25" customHeight="1">
      <c r="A206" s="130">
        <v>853</v>
      </c>
      <c r="B206" s="11"/>
      <c r="C206" s="146"/>
      <c r="D206" s="170" t="s">
        <v>439</v>
      </c>
      <c r="E206" s="83">
        <f>E207+E213</f>
        <v>1831451.26</v>
      </c>
      <c r="F206" s="72"/>
      <c r="G206" s="83">
        <f>G207+G213</f>
        <v>425540</v>
      </c>
      <c r="H206" s="72"/>
      <c r="I206" s="361">
        <f t="shared" si="3"/>
        <v>23.23512556921662</v>
      </c>
    </row>
    <row r="207" spans="1:9" s="53" customFormat="1" ht="20.25" customHeight="1">
      <c r="A207" s="181"/>
      <c r="B207" s="24">
        <v>85305</v>
      </c>
      <c r="C207" s="142"/>
      <c r="D207" s="193" t="s">
        <v>114</v>
      </c>
      <c r="E207" s="28">
        <f>SUM(E208:E212)</f>
        <v>585938</v>
      </c>
      <c r="F207" s="225"/>
      <c r="G207" s="28">
        <f>SUM(G208:G212)</f>
        <v>425540</v>
      </c>
      <c r="H207" s="225"/>
      <c r="I207" s="268">
        <f t="shared" si="3"/>
        <v>72.6254313596319</v>
      </c>
    </row>
    <row r="208" spans="1:10" s="53" customFormat="1" ht="60" customHeight="1">
      <c r="A208" s="181"/>
      <c r="B208" s="29"/>
      <c r="C208" s="139" t="s">
        <v>473</v>
      </c>
      <c r="D208" s="163" t="s">
        <v>383</v>
      </c>
      <c r="E208" s="26">
        <v>28698</v>
      </c>
      <c r="F208" s="225"/>
      <c r="G208" s="26">
        <v>29262</v>
      </c>
      <c r="H208" s="225"/>
      <c r="I208" s="268">
        <f t="shared" si="3"/>
        <v>101.9652937486933</v>
      </c>
      <c r="J208" s="37"/>
    </row>
    <row r="209" spans="1:9" ht="15.75" customHeight="1">
      <c r="A209" s="182"/>
      <c r="B209" s="9"/>
      <c r="C209" s="139" t="s">
        <v>470</v>
      </c>
      <c r="D209" s="163" t="s">
        <v>471</v>
      </c>
      <c r="E209" s="26">
        <v>395890</v>
      </c>
      <c r="F209" s="126"/>
      <c r="G209" s="26">
        <v>395825</v>
      </c>
      <c r="H209" s="126"/>
      <c r="I209" s="268">
        <f t="shared" si="3"/>
        <v>99.98358129783526</v>
      </c>
    </row>
    <row r="210" spans="1:9" ht="15.75" customHeight="1">
      <c r="A210" s="182"/>
      <c r="B210" s="9"/>
      <c r="C210" s="139" t="s">
        <v>334</v>
      </c>
      <c r="D210" s="163" t="s">
        <v>379</v>
      </c>
      <c r="E210" s="26">
        <v>134</v>
      </c>
      <c r="F210" s="126"/>
      <c r="G210" s="26">
        <v>137</v>
      </c>
      <c r="H210" s="126"/>
      <c r="I210" s="268">
        <f t="shared" si="3"/>
        <v>102.23880597014924</v>
      </c>
    </row>
    <row r="211" spans="1:9" ht="18.75" customHeight="1">
      <c r="A211" s="182"/>
      <c r="B211" s="9"/>
      <c r="C211" s="139" t="s">
        <v>318</v>
      </c>
      <c r="D211" s="163" t="s">
        <v>319</v>
      </c>
      <c r="E211" s="26">
        <v>824</v>
      </c>
      <c r="F211" s="126"/>
      <c r="G211" s="26">
        <v>316</v>
      </c>
      <c r="H211" s="126"/>
      <c r="I211" s="268">
        <f t="shared" si="3"/>
        <v>38.349514563106794</v>
      </c>
    </row>
    <row r="212" spans="1:9" ht="37.5" customHeight="1">
      <c r="A212" s="182"/>
      <c r="B212" s="9"/>
      <c r="C212" s="139">
        <v>2030</v>
      </c>
      <c r="D212" s="163" t="s">
        <v>260</v>
      </c>
      <c r="E212" s="26">
        <v>160392</v>
      </c>
      <c r="F212" s="126"/>
      <c r="G212" s="26">
        <v>0</v>
      </c>
      <c r="H212" s="126"/>
      <c r="I212" s="268"/>
    </row>
    <row r="213" spans="1:9" s="53" customFormat="1" ht="26.25" customHeight="1">
      <c r="A213" s="181"/>
      <c r="B213" s="94">
        <v>85395</v>
      </c>
      <c r="C213" s="138"/>
      <c r="D213" s="193" t="s">
        <v>343</v>
      </c>
      <c r="E213" s="28">
        <f>SUM(E214:E215)</f>
        <v>1245513.26</v>
      </c>
      <c r="F213" s="225"/>
      <c r="G213" s="28">
        <f>SUM(G214:G215)</f>
        <v>0</v>
      </c>
      <c r="H213" s="225"/>
      <c r="I213" s="362"/>
    </row>
    <row r="214" spans="1:9" s="53" customFormat="1" ht="88.5" customHeight="1">
      <c r="A214" s="181"/>
      <c r="B214" s="29"/>
      <c r="C214" s="136">
        <v>2007</v>
      </c>
      <c r="D214" s="163" t="s">
        <v>141</v>
      </c>
      <c r="E214" s="26">
        <v>1067225.81</v>
      </c>
      <c r="F214" s="225"/>
      <c r="G214" s="26"/>
      <c r="H214" s="284"/>
      <c r="I214" s="362"/>
    </row>
    <row r="215" spans="1:9" ht="84.75" customHeight="1">
      <c r="A215" s="182"/>
      <c r="B215" s="9"/>
      <c r="C215" s="136">
        <v>2009</v>
      </c>
      <c r="D215" s="163" t="s">
        <v>141</v>
      </c>
      <c r="E215" s="26">
        <v>178287.45</v>
      </c>
      <c r="F215" s="126"/>
      <c r="G215" s="26"/>
      <c r="H215" s="233"/>
      <c r="I215" s="365"/>
    </row>
    <row r="216" spans="1:9" ht="33" customHeight="1">
      <c r="A216" s="309">
        <v>854</v>
      </c>
      <c r="B216" s="336"/>
      <c r="C216" s="310"/>
      <c r="D216" s="337" t="s">
        <v>370</v>
      </c>
      <c r="E216" s="83">
        <f>E217+E219</f>
        <v>844519</v>
      </c>
      <c r="F216" s="213"/>
      <c r="G216" s="83">
        <f>G217+G219</f>
        <v>0</v>
      </c>
      <c r="H216" s="213"/>
      <c r="I216" s="364"/>
    </row>
    <row r="217" spans="1:9" ht="25.5" customHeight="1">
      <c r="A217" s="51"/>
      <c r="B217" s="345">
        <v>85401</v>
      </c>
      <c r="C217" s="317"/>
      <c r="D217" s="335" t="s">
        <v>264</v>
      </c>
      <c r="E217" s="28">
        <f>E218</f>
        <v>20</v>
      </c>
      <c r="F217" s="225"/>
      <c r="G217" s="28">
        <f>G218</f>
        <v>0</v>
      </c>
      <c r="H217" s="284"/>
      <c r="I217" s="362"/>
    </row>
    <row r="218" spans="1:9" ht="26.25" customHeight="1">
      <c r="A218" s="51"/>
      <c r="B218" s="336"/>
      <c r="C218" s="324" t="s">
        <v>318</v>
      </c>
      <c r="D218" s="325" t="s">
        <v>319</v>
      </c>
      <c r="E218" s="83">
        <v>20</v>
      </c>
      <c r="F218" s="213"/>
      <c r="G218" s="26">
        <v>0</v>
      </c>
      <c r="H218" s="214"/>
      <c r="I218" s="366"/>
    </row>
    <row r="219" spans="1:9" ht="26.25" customHeight="1">
      <c r="A219" s="182"/>
      <c r="B219" s="334">
        <v>85415</v>
      </c>
      <c r="C219" s="317"/>
      <c r="D219" s="335" t="s">
        <v>228</v>
      </c>
      <c r="E219" s="28">
        <f>E220+E221</f>
        <v>844499</v>
      </c>
      <c r="F219" s="225"/>
      <c r="G219" s="28">
        <f>G220+G221</f>
        <v>0</v>
      </c>
      <c r="H219" s="284"/>
      <c r="I219" s="366"/>
    </row>
    <row r="220" spans="1:9" ht="37.5" customHeight="1">
      <c r="A220" s="182"/>
      <c r="B220" s="9"/>
      <c r="C220" s="324">
        <v>2030</v>
      </c>
      <c r="D220" s="325" t="s">
        <v>260</v>
      </c>
      <c r="E220" s="26">
        <v>712753</v>
      </c>
      <c r="F220" s="126"/>
      <c r="G220" s="26"/>
      <c r="H220" s="233"/>
      <c r="I220" s="366"/>
    </row>
    <row r="221" spans="1:9" ht="65.25" customHeight="1">
      <c r="A221" s="182"/>
      <c r="B221" s="9"/>
      <c r="C221" s="139" t="s">
        <v>161</v>
      </c>
      <c r="D221" s="163" t="s">
        <v>162</v>
      </c>
      <c r="E221" s="26">
        <f>2000+129746</f>
        <v>131746</v>
      </c>
      <c r="F221" s="126"/>
      <c r="G221" s="26"/>
      <c r="H221" s="233"/>
      <c r="I221" s="365"/>
    </row>
    <row r="222" spans="1:9" ht="30.75" customHeight="1">
      <c r="A222" s="130">
        <v>900</v>
      </c>
      <c r="B222" s="10"/>
      <c r="C222" s="130"/>
      <c r="D222" s="170" t="s">
        <v>351</v>
      </c>
      <c r="E222" s="83">
        <f>E223+E228+E230</f>
        <v>32525100.779999997</v>
      </c>
      <c r="F222" s="126"/>
      <c r="G222" s="83">
        <f>G223+G228+G230</f>
        <v>19591600</v>
      </c>
      <c r="H222" s="126"/>
      <c r="I222" s="367">
        <f t="shared" si="3"/>
        <v>60.23532450373549</v>
      </c>
    </row>
    <row r="223" spans="1:10" ht="24.75" customHeight="1">
      <c r="A223" s="188"/>
      <c r="B223" s="32">
        <v>90002</v>
      </c>
      <c r="C223" s="24"/>
      <c r="D223" s="174" t="s">
        <v>121</v>
      </c>
      <c r="E223" s="28">
        <f>SUM(E224:E227)</f>
        <v>10732000</v>
      </c>
      <c r="F223" s="126"/>
      <c r="G223" s="28">
        <f>SUM(G224:G227)</f>
        <v>12032000</v>
      </c>
      <c r="H223" s="126"/>
      <c r="I223" s="268">
        <f t="shared" si="3"/>
        <v>112.11330600074542</v>
      </c>
      <c r="J223" s="50"/>
    </row>
    <row r="224" spans="1:9" ht="38.25" customHeight="1">
      <c r="A224" s="187"/>
      <c r="B224" s="31"/>
      <c r="C224" s="139" t="s">
        <v>274</v>
      </c>
      <c r="D224" s="163" t="s">
        <v>276</v>
      </c>
      <c r="E224" s="26">
        <v>10700000</v>
      </c>
      <c r="F224" s="126"/>
      <c r="G224" s="26">
        <v>12000000</v>
      </c>
      <c r="H224" s="126"/>
      <c r="I224" s="268">
        <f t="shared" si="3"/>
        <v>112.14953271028037</v>
      </c>
    </row>
    <row r="225" spans="1:9" ht="20.25" customHeight="1">
      <c r="A225" s="187"/>
      <c r="B225" s="32"/>
      <c r="C225" s="143" t="s">
        <v>467</v>
      </c>
      <c r="D225" s="163" t="s">
        <v>468</v>
      </c>
      <c r="E225" s="26">
        <v>25000</v>
      </c>
      <c r="F225" s="126"/>
      <c r="G225" s="26">
        <v>25000</v>
      </c>
      <c r="H225" s="126"/>
      <c r="I225" s="268">
        <f t="shared" si="3"/>
        <v>100</v>
      </c>
    </row>
    <row r="226" spans="1:9" ht="24" customHeight="1">
      <c r="A226" s="187"/>
      <c r="B226" s="32"/>
      <c r="C226" s="139" t="s">
        <v>332</v>
      </c>
      <c r="D226" s="163" t="s">
        <v>385</v>
      </c>
      <c r="E226" s="26">
        <v>5000</v>
      </c>
      <c r="F226" s="126"/>
      <c r="G226" s="26">
        <v>5000</v>
      </c>
      <c r="H226" s="126"/>
      <c r="I226" s="268">
        <f t="shared" si="3"/>
        <v>100</v>
      </c>
    </row>
    <row r="227" spans="1:9" ht="21" customHeight="1">
      <c r="A227" s="187"/>
      <c r="B227" s="5"/>
      <c r="C227" s="143" t="s">
        <v>318</v>
      </c>
      <c r="D227" s="163" t="s">
        <v>319</v>
      </c>
      <c r="E227" s="26">
        <v>2000</v>
      </c>
      <c r="F227" s="126"/>
      <c r="G227" s="26">
        <v>2000</v>
      </c>
      <c r="H227" s="126"/>
      <c r="I227" s="268">
        <f t="shared" si="3"/>
        <v>100</v>
      </c>
    </row>
    <row r="228" spans="1:9" s="53" customFormat="1" ht="37.5" customHeight="1">
      <c r="A228" s="181"/>
      <c r="B228" s="24">
        <v>90019</v>
      </c>
      <c r="C228" s="138"/>
      <c r="D228" s="193" t="s">
        <v>456</v>
      </c>
      <c r="E228" s="28">
        <f>SUM(E229:E229)</f>
        <v>8914096.97</v>
      </c>
      <c r="F228" s="225"/>
      <c r="G228" s="28">
        <f>SUM(G229:G229)</f>
        <v>7500000</v>
      </c>
      <c r="H228" s="225"/>
      <c r="I228" s="268">
        <f t="shared" si="3"/>
        <v>84.13639682450076</v>
      </c>
    </row>
    <row r="229" spans="1:9" ht="23.25" customHeight="1">
      <c r="A229" s="185"/>
      <c r="B229" s="7"/>
      <c r="C229" s="143" t="s">
        <v>467</v>
      </c>
      <c r="D229" s="163" t="s">
        <v>468</v>
      </c>
      <c r="E229" s="26">
        <v>8914096.97</v>
      </c>
      <c r="F229" s="126"/>
      <c r="G229" s="26">
        <v>7500000</v>
      </c>
      <c r="H229" s="126"/>
      <c r="I229" s="268">
        <f t="shared" si="3"/>
        <v>84.13639682450076</v>
      </c>
    </row>
    <row r="230" spans="1:9" s="53" customFormat="1" ht="18.75" customHeight="1">
      <c r="A230" s="181"/>
      <c r="B230" s="24">
        <v>90095</v>
      </c>
      <c r="C230" s="138"/>
      <c r="D230" s="193" t="s">
        <v>343</v>
      </c>
      <c r="E230" s="28">
        <f>SUM(E231:E238)</f>
        <v>12879003.809999999</v>
      </c>
      <c r="F230" s="225"/>
      <c r="G230" s="28">
        <f>SUM(G231:G238)</f>
        <v>59600</v>
      </c>
      <c r="H230" s="225"/>
      <c r="I230" s="268">
        <f t="shared" si="3"/>
        <v>0.4627687116120203</v>
      </c>
    </row>
    <row r="231" spans="1:9" ht="18" customHeight="1">
      <c r="A231" s="182"/>
      <c r="B231" s="17"/>
      <c r="C231" s="143" t="s">
        <v>467</v>
      </c>
      <c r="D231" s="163" t="s">
        <v>468</v>
      </c>
      <c r="E231" s="26">
        <v>46000</v>
      </c>
      <c r="F231" s="126"/>
      <c r="G231" s="26">
        <v>47000</v>
      </c>
      <c r="H231" s="126"/>
      <c r="I231" s="268">
        <f t="shared" si="3"/>
        <v>102.17391304347827</v>
      </c>
    </row>
    <row r="232" spans="1:9" ht="17.25" customHeight="1">
      <c r="A232" s="182"/>
      <c r="B232" s="17"/>
      <c r="C232" s="143" t="s">
        <v>470</v>
      </c>
      <c r="D232" s="163" t="s">
        <v>471</v>
      </c>
      <c r="E232" s="26">
        <v>11000</v>
      </c>
      <c r="F232" s="126"/>
      <c r="G232" s="26">
        <v>12000</v>
      </c>
      <c r="H232" s="126"/>
      <c r="I232" s="268">
        <f t="shared" si="3"/>
        <v>109.09090909090908</v>
      </c>
    </row>
    <row r="233" spans="1:9" ht="23.25" customHeight="1">
      <c r="A233" s="182"/>
      <c r="B233" s="17"/>
      <c r="C233" s="139" t="s">
        <v>499</v>
      </c>
      <c r="D233" s="163" t="s">
        <v>224</v>
      </c>
      <c r="E233" s="26">
        <v>7025</v>
      </c>
      <c r="F233" s="126"/>
      <c r="G233" s="26">
        <v>0</v>
      </c>
      <c r="H233" s="126"/>
      <c r="I233" s="268"/>
    </row>
    <row r="234" spans="1:9" ht="17.25" customHeight="1">
      <c r="A234" s="182"/>
      <c r="B234" s="17"/>
      <c r="C234" s="139" t="s">
        <v>334</v>
      </c>
      <c r="D234" s="163" t="s">
        <v>379</v>
      </c>
      <c r="E234" s="26">
        <v>500</v>
      </c>
      <c r="F234" s="126"/>
      <c r="G234" s="26">
        <v>500</v>
      </c>
      <c r="H234" s="126"/>
      <c r="I234" s="268">
        <f t="shared" si="3"/>
        <v>100</v>
      </c>
    </row>
    <row r="235" spans="1:9" ht="24" customHeight="1">
      <c r="A235" s="182"/>
      <c r="B235" s="17"/>
      <c r="C235" s="141" t="s">
        <v>113</v>
      </c>
      <c r="D235" s="169" t="s">
        <v>397</v>
      </c>
      <c r="E235" s="26">
        <v>300000</v>
      </c>
      <c r="F235" s="126"/>
      <c r="G235" s="26">
        <v>0</v>
      </c>
      <c r="H235" s="126"/>
      <c r="I235" s="268"/>
    </row>
    <row r="236" spans="1:9" ht="20.25" customHeight="1">
      <c r="A236" s="182"/>
      <c r="B236" s="17"/>
      <c r="C236" s="143" t="s">
        <v>318</v>
      </c>
      <c r="D236" s="163" t="s">
        <v>319</v>
      </c>
      <c r="E236" s="26">
        <v>100</v>
      </c>
      <c r="F236" s="126"/>
      <c r="G236" s="26">
        <v>100</v>
      </c>
      <c r="H236" s="126"/>
      <c r="I236" s="268">
        <f t="shared" si="3"/>
        <v>100</v>
      </c>
    </row>
    <row r="237" spans="1:9" ht="85.5" customHeight="1">
      <c r="A237" s="182"/>
      <c r="B237" s="17"/>
      <c r="C237" s="144" t="s">
        <v>275</v>
      </c>
      <c r="D237" s="163" t="s">
        <v>141</v>
      </c>
      <c r="E237" s="26">
        <v>32664.65</v>
      </c>
      <c r="F237" s="126"/>
      <c r="G237" s="26">
        <v>0</v>
      </c>
      <c r="H237" s="126"/>
      <c r="I237" s="268"/>
    </row>
    <row r="238" spans="1:9" ht="84.75" customHeight="1">
      <c r="A238" s="182"/>
      <c r="B238" s="17"/>
      <c r="C238" s="136">
        <v>6207</v>
      </c>
      <c r="D238" s="163" t="s">
        <v>194</v>
      </c>
      <c r="E238" s="26">
        <f>10913694.17+1463846.37+104173.62</f>
        <v>12481714.159999998</v>
      </c>
      <c r="F238" s="126"/>
      <c r="G238" s="26">
        <v>0</v>
      </c>
      <c r="H238" s="126"/>
      <c r="I238" s="268"/>
    </row>
    <row r="239" spans="1:9" ht="24" customHeight="1">
      <c r="A239" s="130">
        <v>926</v>
      </c>
      <c r="B239" s="10"/>
      <c r="C239" s="130"/>
      <c r="D239" s="170" t="s">
        <v>297</v>
      </c>
      <c r="E239" s="271">
        <f>E240+E243</f>
        <v>2615890</v>
      </c>
      <c r="F239" s="126"/>
      <c r="G239" s="271">
        <f>G240+G243</f>
        <v>2600700</v>
      </c>
      <c r="H239" s="126"/>
      <c r="I239" s="361">
        <f t="shared" si="3"/>
        <v>99.41931809059248</v>
      </c>
    </row>
    <row r="240" spans="1:9" ht="24" customHeight="1">
      <c r="A240" s="188"/>
      <c r="B240" s="346">
        <v>92601</v>
      </c>
      <c r="C240" s="334"/>
      <c r="D240" s="339" t="s">
        <v>251</v>
      </c>
      <c r="E240" s="234">
        <f>SUM(E241:E242)</f>
        <v>16300</v>
      </c>
      <c r="F240" s="225"/>
      <c r="G240" s="234">
        <f>SUM(G241:G242)</f>
        <v>0</v>
      </c>
      <c r="H240" s="126"/>
      <c r="I240" s="268"/>
    </row>
    <row r="241" spans="1:9" ht="35.25" customHeight="1">
      <c r="A241" s="187"/>
      <c r="B241" s="18"/>
      <c r="C241" s="139" t="s">
        <v>479</v>
      </c>
      <c r="D241" s="163" t="s">
        <v>395</v>
      </c>
      <c r="E241" s="272">
        <v>12000</v>
      </c>
      <c r="F241" s="126"/>
      <c r="G241" s="272">
        <v>0</v>
      </c>
      <c r="H241" s="126"/>
      <c r="I241" s="268"/>
    </row>
    <row r="242" spans="1:9" ht="24" customHeight="1">
      <c r="A242" s="187"/>
      <c r="B242" s="5"/>
      <c r="C242" s="144" t="s">
        <v>334</v>
      </c>
      <c r="D242" s="163" t="s">
        <v>379</v>
      </c>
      <c r="E242" s="272">
        <v>4300</v>
      </c>
      <c r="F242" s="126"/>
      <c r="G242" s="272">
        <v>0</v>
      </c>
      <c r="H242" s="126"/>
      <c r="I242" s="268"/>
    </row>
    <row r="243" spans="1:9" s="53" customFormat="1" ht="22.5" customHeight="1">
      <c r="A243" s="181"/>
      <c r="B243" s="36">
        <v>92604</v>
      </c>
      <c r="C243" s="142"/>
      <c r="D243" s="193" t="s">
        <v>116</v>
      </c>
      <c r="E243" s="234">
        <f>SUM(E244:E250)</f>
        <v>2599590</v>
      </c>
      <c r="F243" s="225"/>
      <c r="G243" s="234">
        <f>SUM(G244:G250)</f>
        <v>2600700</v>
      </c>
      <c r="H243" s="225"/>
      <c r="I243" s="268">
        <f t="shared" si="3"/>
        <v>100.04269904100262</v>
      </c>
    </row>
    <row r="244" spans="1:9" s="53" customFormat="1" ht="22.5" customHeight="1">
      <c r="A244" s="181"/>
      <c r="B244" s="30"/>
      <c r="C244" s="143" t="s">
        <v>467</v>
      </c>
      <c r="D244" s="163" t="s">
        <v>468</v>
      </c>
      <c r="E244" s="272">
        <v>800</v>
      </c>
      <c r="F244" s="126"/>
      <c r="G244" s="272">
        <v>800</v>
      </c>
      <c r="H244" s="126"/>
      <c r="I244" s="268">
        <f t="shared" si="3"/>
        <v>100</v>
      </c>
    </row>
    <row r="245" spans="1:9" ht="65.25" customHeight="1">
      <c r="A245" s="182"/>
      <c r="B245" s="17"/>
      <c r="C245" s="144" t="s">
        <v>473</v>
      </c>
      <c r="D245" s="163" t="s">
        <v>383</v>
      </c>
      <c r="E245" s="26">
        <v>555000</v>
      </c>
      <c r="F245" s="126"/>
      <c r="G245" s="26">
        <v>567000</v>
      </c>
      <c r="H245" s="126"/>
      <c r="I245" s="268">
        <f t="shared" si="3"/>
        <v>102.16216216216216</v>
      </c>
    </row>
    <row r="246" spans="1:9" ht="18.75" customHeight="1">
      <c r="A246" s="182"/>
      <c r="B246" s="17"/>
      <c r="C246" s="144" t="s">
        <v>470</v>
      </c>
      <c r="D246" s="163" t="s">
        <v>471</v>
      </c>
      <c r="E246" s="26">
        <v>1920000</v>
      </c>
      <c r="F246" s="126"/>
      <c r="G246" s="26">
        <v>1920000</v>
      </c>
      <c r="H246" s="126"/>
      <c r="I246" s="268">
        <f t="shared" si="3"/>
        <v>100</v>
      </c>
    </row>
    <row r="247" spans="1:9" ht="27" customHeight="1">
      <c r="A247" s="182"/>
      <c r="B247" s="17"/>
      <c r="C247" s="139" t="s">
        <v>499</v>
      </c>
      <c r="D247" s="163" t="s">
        <v>224</v>
      </c>
      <c r="E247" s="26">
        <v>890</v>
      </c>
      <c r="F247" s="126"/>
      <c r="G247" s="26">
        <v>0</v>
      </c>
      <c r="H247" s="126"/>
      <c r="I247" s="268"/>
    </row>
    <row r="248" spans="1:9" ht="18.75" customHeight="1">
      <c r="A248" s="182"/>
      <c r="B248" s="17"/>
      <c r="C248" s="144" t="s">
        <v>334</v>
      </c>
      <c r="D248" s="163" t="s">
        <v>379</v>
      </c>
      <c r="E248" s="26">
        <v>900</v>
      </c>
      <c r="F248" s="126"/>
      <c r="G248" s="26">
        <v>900</v>
      </c>
      <c r="H248" s="126"/>
      <c r="I248" s="268">
        <f t="shared" si="3"/>
        <v>100</v>
      </c>
    </row>
    <row r="249" spans="1:9" ht="27.75" customHeight="1">
      <c r="A249" s="182"/>
      <c r="B249" s="17"/>
      <c r="C249" s="141" t="s">
        <v>113</v>
      </c>
      <c r="D249" s="169" t="s">
        <v>397</v>
      </c>
      <c r="E249" s="26">
        <v>10000</v>
      </c>
      <c r="F249" s="126"/>
      <c r="G249" s="26">
        <v>0</v>
      </c>
      <c r="H249" s="126"/>
      <c r="I249" s="268"/>
    </row>
    <row r="250" spans="1:9" ht="21.75" customHeight="1">
      <c r="A250" s="141"/>
      <c r="B250" s="17"/>
      <c r="C250" s="144" t="s">
        <v>318</v>
      </c>
      <c r="D250" s="163" t="s">
        <v>319</v>
      </c>
      <c r="E250" s="26">
        <v>112000</v>
      </c>
      <c r="F250" s="87"/>
      <c r="G250" s="26">
        <v>112000</v>
      </c>
      <c r="H250" s="87"/>
      <c r="I250" s="268">
        <f t="shared" si="3"/>
        <v>100</v>
      </c>
    </row>
    <row r="251" spans="1:10" ht="24" customHeight="1">
      <c r="A251" s="445" t="s">
        <v>117</v>
      </c>
      <c r="B251" s="14"/>
      <c r="C251" s="406"/>
      <c r="D251" s="446"/>
      <c r="E251" s="64">
        <f>E14+E17+E25+E40+E43+E53+E62+E66+E103+E118+E154+E163+E206+E216+E222+E239</f>
        <v>302067202.12</v>
      </c>
      <c r="F251" s="64">
        <f>F14+F17+F25+F40+F43+F53+F62+F66+F103+F118+F154+F163+F206+F216+F222+F239</f>
        <v>25710696.65</v>
      </c>
      <c r="G251" s="64">
        <f>G14+G17+G25+G40+G43+G53+G62+G66+G103+G118+G154+G163+G206+G216+G222+G239</f>
        <v>268822548.28999996</v>
      </c>
      <c r="H251" s="64">
        <f>H14+H17+H25+H40+H43+H53+H62+H66+H103+H118+H154+H163+H206+H216+H222+H239</f>
        <v>24063781</v>
      </c>
      <c r="I251" s="361">
        <f t="shared" si="3"/>
        <v>88.9942855110787</v>
      </c>
      <c r="J251" s="50"/>
    </row>
    <row r="252" spans="1:10" ht="27" customHeight="1">
      <c r="A252" s="178" t="s">
        <v>255</v>
      </c>
      <c r="B252" s="14"/>
      <c r="C252" s="137"/>
      <c r="D252" s="175"/>
      <c r="E252" s="41"/>
      <c r="F252" s="41"/>
      <c r="G252" s="41"/>
      <c r="H252" s="41"/>
      <c r="I252" s="363"/>
      <c r="J252" s="50"/>
    </row>
    <row r="253" spans="1:9" ht="21" customHeight="1">
      <c r="A253" s="186" t="s">
        <v>432</v>
      </c>
      <c r="B253" s="67"/>
      <c r="C253" s="5"/>
      <c r="D253" s="196" t="s">
        <v>433</v>
      </c>
      <c r="E253" s="127">
        <f>E254</f>
        <v>1000</v>
      </c>
      <c r="F253" s="126"/>
      <c r="G253" s="127">
        <f>G254</f>
        <v>1000</v>
      </c>
      <c r="H253" s="126"/>
      <c r="I253" s="367">
        <f t="shared" si="3"/>
        <v>100</v>
      </c>
    </row>
    <row r="254" spans="1:9" ht="22.5" customHeight="1">
      <c r="A254" s="179"/>
      <c r="B254" s="98" t="s">
        <v>434</v>
      </c>
      <c r="C254" s="24"/>
      <c r="D254" s="174" t="s">
        <v>343</v>
      </c>
      <c r="E254" s="28">
        <f>E255</f>
        <v>1000</v>
      </c>
      <c r="F254" s="225"/>
      <c r="G254" s="28">
        <f>G255</f>
        <v>1000</v>
      </c>
      <c r="H254" s="284"/>
      <c r="I254" s="365">
        <f t="shared" si="3"/>
        <v>100</v>
      </c>
    </row>
    <row r="255" spans="1:9" ht="64.5" customHeight="1">
      <c r="A255" s="180"/>
      <c r="B255" s="11"/>
      <c r="C255" s="144" t="s">
        <v>473</v>
      </c>
      <c r="D255" s="163" t="s">
        <v>383</v>
      </c>
      <c r="E255" s="26">
        <v>1000</v>
      </c>
      <c r="F255" s="126"/>
      <c r="G255" s="26">
        <v>1000</v>
      </c>
      <c r="H255" s="233"/>
      <c r="I255" s="365">
        <f t="shared" si="3"/>
        <v>100</v>
      </c>
    </row>
    <row r="256" spans="1:9" ht="24" customHeight="1">
      <c r="A256" s="66">
        <v>600</v>
      </c>
      <c r="B256" s="67"/>
      <c r="C256" s="10"/>
      <c r="D256" s="196" t="s">
        <v>311</v>
      </c>
      <c r="E256" s="83">
        <f>E257+E259</f>
        <v>48000</v>
      </c>
      <c r="F256" s="126"/>
      <c r="G256" s="83">
        <f>G257+G259</f>
        <v>35000</v>
      </c>
      <c r="H256" s="126"/>
      <c r="I256" s="365">
        <f t="shared" si="3"/>
        <v>72.91666666666666</v>
      </c>
    </row>
    <row r="257" spans="1:9" s="53" customFormat="1" ht="30.75" customHeight="1">
      <c r="A257" s="96"/>
      <c r="B257" s="46">
        <v>60015</v>
      </c>
      <c r="C257" s="24"/>
      <c r="D257" s="174" t="s">
        <v>510</v>
      </c>
      <c r="E257" s="28">
        <f>SUM(E258:E258)</f>
        <v>20000</v>
      </c>
      <c r="F257" s="225"/>
      <c r="G257" s="28">
        <f>SUM(G258:G258)</f>
        <v>35000</v>
      </c>
      <c r="H257" s="284"/>
      <c r="I257" s="365">
        <f t="shared" si="3"/>
        <v>175</v>
      </c>
    </row>
    <row r="258" spans="1:9" ht="35.25" customHeight="1">
      <c r="A258" s="238"/>
      <c r="B258" s="5"/>
      <c r="C258" s="139" t="s">
        <v>479</v>
      </c>
      <c r="D258" s="163" t="s">
        <v>395</v>
      </c>
      <c r="E258" s="26">
        <v>20000</v>
      </c>
      <c r="F258" s="87"/>
      <c r="G258" s="26">
        <v>35000</v>
      </c>
      <c r="H258" s="127"/>
      <c r="I258" s="365">
        <f t="shared" si="3"/>
        <v>175</v>
      </c>
    </row>
    <row r="259" spans="1:9" ht="21" customHeight="1">
      <c r="A259" s="238"/>
      <c r="B259" s="24">
        <v>60095</v>
      </c>
      <c r="C259" s="142"/>
      <c r="D259" s="193" t="s">
        <v>343</v>
      </c>
      <c r="E259" s="28">
        <f>SUM(E260:E260)</f>
        <v>28000</v>
      </c>
      <c r="F259" s="87"/>
      <c r="G259" s="28">
        <f>SUM(G260:G260)</f>
        <v>0</v>
      </c>
      <c r="H259" s="127"/>
      <c r="I259" s="365"/>
    </row>
    <row r="260" spans="1:9" ht="53.25" customHeight="1">
      <c r="A260" s="404"/>
      <c r="B260" s="9"/>
      <c r="C260" s="136" t="s">
        <v>357</v>
      </c>
      <c r="D260" s="163" t="s">
        <v>398</v>
      </c>
      <c r="E260" s="26">
        <v>28000</v>
      </c>
      <c r="F260" s="87"/>
      <c r="G260" s="26"/>
      <c r="H260" s="127"/>
      <c r="I260" s="365"/>
    </row>
    <row r="261" spans="1:9" ht="25.5" customHeight="1">
      <c r="A261" s="130">
        <v>700</v>
      </c>
      <c r="B261" s="10"/>
      <c r="C261" s="130"/>
      <c r="D261" s="192" t="s">
        <v>372</v>
      </c>
      <c r="E261" s="33">
        <f>E262</f>
        <v>893228</v>
      </c>
      <c r="F261" s="125">
        <f>F262</f>
        <v>113978</v>
      </c>
      <c r="G261" s="33">
        <f>G262</f>
        <v>870497</v>
      </c>
      <c r="H261" s="125">
        <f>H262</f>
        <v>91747</v>
      </c>
      <c r="I261" s="367">
        <f t="shared" si="3"/>
        <v>97.45518501435244</v>
      </c>
    </row>
    <row r="262" spans="1:9" s="53" customFormat="1" ht="23.25" customHeight="1">
      <c r="A262" s="181"/>
      <c r="B262" s="23">
        <v>70005</v>
      </c>
      <c r="C262" s="138"/>
      <c r="D262" s="193" t="s">
        <v>342</v>
      </c>
      <c r="E262" s="90">
        <f>SUM(E263:E264)</f>
        <v>893228</v>
      </c>
      <c r="F262" s="224">
        <f>SUM(F263:F264)</f>
        <v>113978</v>
      </c>
      <c r="G262" s="90">
        <f>SUM(G263:G264)</f>
        <v>870497</v>
      </c>
      <c r="H262" s="224">
        <f>SUM(H263:H264)</f>
        <v>91747</v>
      </c>
      <c r="I262" s="268">
        <f t="shared" si="3"/>
        <v>97.45518501435244</v>
      </c>
    </row>
    <row r="263" spans="1:9" ht="51.75" customHeight="1">
      <c r="A263" s="182"/>
      <c r="B263" s="9"/>
      <c r="C263" s="139">
        <v>2110</v>
      </c>
      <c r="D263" s="163" t="s">
        <v>118</v>
      </c>
      <c r="E263" s="52">
        <v>113978</v>
      </c>
      <c r="F263" s="177">
        <v>113978</v>
      </c>
      <c r="G263" s="52">
        <v>91747</v>
      </c>
      <c r="H263" s="177">
        <v>91747</v>
      </c>
      <c r="I263" s="268">
        <f t="shared" si="3"/>
        <v>80.49535875344364</v>
      </c>
    </row>
    <row r="264" spans="1:9" ht="42" customHeight="1">
      <c r="A264" s="182"/>
      <c r="B264" s="9"/>
      <c r="C264" s="139">
        <v>2360</v>
      </c>
      <c r="D264" s="163" t="s">
        <v>336</v>
      </c>
      <c r="E264" s="87">
        <v>779250</v>
      </c>
      <c r="F264" s="220"/>
      <c r="G264" s="87">
        <v>778750</v>
      </c>
      <c r="H264" s="220"/>
      <c r="I264" s="268">
        <f t="shared" si="3"/>
        <v>99.9358357394931</v>
      </c>
    </row>
    <row r="265" spans="1:9" ht="21.75" customHeight="1">
      <c r="A265" s="130">
        <v>710</v>
      </c>
      <c r="B265" s="11"/>
      <c r="C265" s="130"/>
      <c r="D265" s="170" t="s">
        <v>352</v>
      </c>
      <c r="E265" s="33">
        <f>E266+E269+E271+E273</f>
        <v>847800</v>
      </c>
      <c r="F265" s="33">
        <f>F266+F269+F271+F273</f>
        <v>487800</v>
      </c>
      <c r="G265" s="33">
        <f>G266+G269+G271+G273</f>
        <v>855000</v>
      </c>
      <c r="H265" s="33">
        <f>H266+H269+H271+H273</f>
        <v>495000</v>
      </c>
      <c r="I265" s="361">
        <f t="shared" si="3"/>
        <v>100.84925690021231</v>
      </c>
    </row>
    <row r="266" spans="1:9" s="53" customFormat="1" ht="22.5" customHeight="1">
      <c r="A266" s="181"/>
      <c r="B266" s="24">
        <v>71012</v>
      </c>
      <c r="C266" s="138"/>
      <c r="D266" s="174" t="s">
        <v>356</v>
      </c>
      <c r="E266" s="28">
        <f>SUM(E267:E268)</f>
        <v>360000</v>
      </c>
      <c r="F266" s="28">
        <f>SUM(F267:F268)</f>
        <v>0</v>
      </c>
      <c r="G266" s="28">
        <f>SUM(G267:G268)</f>
        <v>468000</v>
      </c>
      <c r="H266" s="28">
        <f>SUM(H267:H268)</f>
        <v>108000</v>
      </c>
      <c r="I266" s="268">
        <f t="shared" si="3"/>
        <v>130</v>
      </c>
    </row>
    <row r="267" spans="1:9" ht="23.25" customHeight="1">
      <c r="A267" s="187"/>
      <c r="B267" s="51"/>
      <c r="C267" s="143" t="s">
        <v>467</v>
      </c>
      <c r="D267" s="163" t="s">
        <v>468</v>
      </c>
      <c r="E267" s="128">
        <v>360000</v>
      </c>
      <c r="F267" s="126"/>
      <c r="G267" s="128">
        <v>360000</v>
      </c>
      <c r="H267" s="126"/>
      <c r="I267" s="268">
        <f t="shared" si="3"/>
        <v>100</v>
      </c>
    </row>
    <row r="268" spans="1:9" ht="52.5" customHeight="1">
      <c r="A268" s="187"/>
      <c r="B268" s="51"/>
      <c r="C268" s="141">
        <v>2110</v>
      </c>
      <c r="D268" s="172" t="s">
        <v>118</v>
      </c>
      <c r="E268" s="128"/>
      <c r="F268" s="126"/>
      <c r="G268" s="128">
        <v>108000</v>
      </c>
      <c r="H268" s="52">
        <v>108000</v>
      </c>
      <c r="I268" s="268"/>
    </row>
    <row r="269" spans="1:9" s="53" customFormat="1" ht="24.75" customHeight="1">
      <c r="A269" s="181"/>
      <c r="B269" s="24">
        <v>71013</v>
      </c>
      <c r="C269" s="138"/>
      <c r="D269" s="193" t="s">
        <v>544</v>
      </c>
      <c r="E269" s="90">
        <f>E270</f>
        <v>100000</v>
      </c>
      <c r="F269" s="90">
        <f>F270</f>
        <v>100000</v>
      </c>
      <c r="G269" s="90">
        <f>G270</f>
        <v>0</v>
      </c>
      <c r="H269" s="90">
        <f>H270</f>
        <v>0</v>
      </c>
      <c r="I269" s="268"/>
    </row>
    <row r="270" spans="1:9" ht="53.25" customHeight="1">
      <c r="A270" s="182"/>
      <c r="B270" s="9"/>
      <c r="C270" s="139">
        <v>2110</v>
      </c>
      <c r="D270" s="163" t="s">
        <v>118</v>
      </c>
      <c r="E270" s="52">
        <v>100000</v>
      </c>
      <c r="F270" s="220">
        <v>100000</v>
      </c>
      <c r="G270" s="52">
        <v>0</v>
      </c>
      <c r="H270" s="220"/>
      <c r="I270" s="268"/>
    </row>
    <row r="271" spans="1:9" s="53" customFormat="1" ht="24.75" customHeight="1">
      <c r="A271" s="181"/>
      <c r="B271" s="24">
        <v>71014</v>
      </c>
      <c r="C271" s="138"/>
      <c r="D271" s="193" t="s">
        <v>545</v>
      </c>
      <c r="E271" s="90">
        <f>E272</f>
        <v>10000</v>
      </c>
      <c r="F271" s="224">
        <f>F272</f>
        <v>10000</v>
      </c>
      <c r="G271" s="90">
        <f>G272</f>
        <v>0</v>
      </c>
      <c r="H271" s="224">
        <f>H272</f>
        <v>0</v>
      </c>
      <c r="I271" s="268"/>
    </row>
    <row r="272" spans="1:9" ht="45.75" customHeight="1">
      <c r="A272" s="182"/>
      <c r="B272" s="12"/>
      <c r="C272" s="139">
        <v>2110</v>
      </c>
      <c r="D272" s="163" t="s">
        <v>118</v>
      </c>
      <c r="E272" s="52">
        <v>10000</v>
      </c>
      <c r="F272" s="220">
        <v>10000</v>
      </c>
      <c r="G272" s="52"/>
      <c r="H272" s="220"/>
      <c r="I272" s="268"/>
    </row>
    <row r="273" spans="1:9" s="53" customFormat="1" ht="22.5" customHeight="1">
      <c r="A273" s="181"/>
      <c r="B273" s="23">
        <v>71015</v>
      </c>
      <c r="C273" s="138"/>
      <c r="D273" s="193" t="s">
        <v>546</v>
      </c>
      <c r="E273" s="90">
        <f>E274</f>
        <v>377800</v>
      </c>
      <c r="F273" s="90">
        <f>F274</f>
        <v>377800</v>
      </c>
      <c r="G273" s="90">
        <f>G274</f>
        <v>387000</v>
      </c>
      <c r="H273" s="90">
        <f>H274</f>
        <v>387000</v>
      </c>
      <c r="I273" s="268">
        <f t="shared" si="3"/>
        <v>102.43515087347804</v>
      </c>
    </row>
    <row r="274" spans="1:9" ht="54" customHeight="1">
      <c r="A274" s="182"/>
      <c r="B274" s="9"/>
      <c r="C274" s="141">
        <v>2110</v>
      </c>
      <c r="D274" s="172" t="s">
        <v>118</v>
      </c>
      <c r="E274" s="52">
        <v>377800</v>
      </c>
      <c r="F274" s="177">
        <v>377800</v>
      </c>
      <c r="G274" s="52">
        <v>387000</v>
      </c>
      <c r="H274" s="177">
        <v>387000</v>
      </c>
      <c r="I274" s="268">
        <f t="shared" si="3"/>
        <v>102.43515087347804</v>
      </c>
    </row>
    <row r="275" spans="1:9" ht="24.75" customHeight="1">
      <c r="A275" s="130">
        <v>750</v>
      </c>
      <c r="B275" s="10"/>
      <c r="C275" s="140"/>
      <c r="D275" s="192" t="s">
        <v>344</v>
      </c>
      <c r="E275" s="33">
        <f>E276+E278+E280</f>
        <v>500887</v>
      </c>
      <c r="F275" s="226">
        <f>F276+F278+F280</f>
        <v>462887</v>
      </c>
      <c r="G275" s="33">
        <f>G276+G278+G280</f>
        <v>206032</v>
      </c>
      <c r="H275" s="226">
        <f>H276+H278+H280</f>
        <v>168032</v>
      </c>
      <c r="I275" s="361">
        <f t="shared" si="3"/>
        <v>41.13342929642813</v>
      </c>
    </row>
    <row r="276" spans="1:9" s="53" customFormat="1" ht="25.5" customHeight="1">
      <c r="A276" s="181"/>
      <c r="B276" s="23">
        <v>75011</v>
      </c>
      <c r="C276" s="147"/>
      <c r="D276" s="193" t="s">
        <v>466</v>
      </c>
      <c r="E276" s="90">
        <f>E277</f>
        <v>439887</v>
      </c>
      <c r="F276" s="224">
        <f>F277</f>
        <v>439887</v>
      </c>
      <c r="G276" s="90">
        <f>G277</f>
        <v>145032</v>
      </c>
      <c r="H276" s="224">
        <f>H277</f>
        <v>145032</v>
      </c>
      <c r="I276" s="268">
        <f t="shared" si="3"/>
        <v>32.970285550607315</v>
      </c>
    </row>
    <row r="277" spans="1:9" ht="49.5" customHeight="1">
      <c r="A277" s="182"/>
      <c r="B277" s="9"/>
      <c r="C277" s="139">
        <v>2110</v>
      </c>
      <c r="D277" s="163" t="s">
        <v>118</v>
      </c>
      <c r="E277" s="52">
        <v>439887</v>
      </c>
      <c r="F277" s="52">
        <v>439887</v>
      </c>
      <c r="G277" s="52">
        <v>145032</v>
      </c>
      <c r="H277" s="177">
        <v>145032</v>
      </c>
      <c r="I277" s="268">
        <f t="shared" si="3"/>
        <v>32.970285550607315</v>
      </c>
    </row>
    <row r="278" spans="1:9" s="53" customFormat="1" ht="20.25" customHeight="1">
      <c r="A278" s="181"/>
      <c r="B278" s="23">
        <v>75020</v>
      </c>
      <c r="C278" s="138"/>
      <c r="D278" s="193" t="s">
        <v>547</v>
      </c>
      <c r="E278" s="90">
        <f>E279</f>
        <v>35000</v>
      </c>
      <c r="F278" s="222"/>
      <c r="G278" s="90">
        <f>G279</f>
        <v>35000</v>
      </c>
      <c r="H278" s="222"/>
      <c r="I278" s="268">
        <f t="shared" si="3"/>
        <v>100</v>
      </c>
    </row>
    <row r="279" spans="1:9" ht="22.5" customHeight="1">
      <c r="A279" s="182"/>
      <c r="B279" s="9"/>
      <c r="C279" s="139" t="s">
        <v>467</v>
      </c>
      <c r="D279" s="163" t="s">
        <v>468</v>
      </c>
      <c r="E279" s="52">
        <v>35000</v>
      </c>
      <c r="F279" s="220"/>
      <c r="G279" s="52">
        <v>35000</v>
      </c>
      <c r="H279" s="220"/>
      <c r="I279" s="268">
        <f t="shared" si="3"/>
        <v>100</v>
      </c>
    </row>
    <row r="280" spans="1:9" s="53" customFormat="1" ht="21.75" customHeight="1">
      <c r="A280" s="181"/>
      <c r="B280" s="23">
        <v>75045</v>
      </c>
      <c r="C280" s="138"/>
      <c r="D280" s="193" t="s">
        <v>483</v>
      </c>
      <c r="E280" s="90">
        <f>SUM(E281:E282)</f>
        <v>26000</v>
      </c>
      <c r="F280" s="224">
        <f>SUM(F281:F282)</f>
        <v>23000</v>
      </c>
      <c r="G280" s="90">
        <f>SUM(G281:G282)</f>
        <v>26000</v>
      </c>
      <c r="H280" s="224">
        <f>SUM(H281:H282)</f>
        <v>23000</v>
      </c>
      <c r="I280" s="268">
        <f t="shared" si="3"/>
        <v>100</v>
      </c>
    </row>
    <row r="281" spans="1:9" ht="55.5" customHeight="1">
      <c r="A281" s="182"/>
      <c r="B281" s="15"/>
      <c r="C281" s="139">
        <v>2110</v>
      </c>
      <c r="D281" s="163" t="s">
        <v>118</v>
      </c>
      <c r="E281" s="52">
        <v>23000</v>
      </c>
      <c r="F281" s="177">
        <v>23000</v>
      </c>
      <c r="G281" s="52">
        <v>23000</v>
      </c>
      <c r="H281" s="177">
        <v>23000</v>
      </c>
      <c r="I281" s="268">
        <f t="shared" si="3"/>
        <v>100</v>
      </c>
    </row>
    <row r="282" spans="1:9" ht="51.75" customHeight="1">
      <c r="A282" s="182"/>
      <c r="B282" s="9"/>
      <c r="C282" s="139">
        <v>2120</v>
      </c>
      <c r="D282" s="198" t="s">
        <v>548</v>
      </c>
      <c r="E282" s="52">
        <v>3000</v>
      </c>
      <c r="F282" s="220"/>
      <c r="G282" s="52">
        <v>3000</v>
      </c>
      <c r="H282" s="220"/>
      <c r="I282" s="268">
        <f t="shared" si="3"/>
        <v>100</v>
      </c>
    </row>
    <row r="283" spans="1:9" ht="27.75" customHeight="1">
      <c r="A283" s="146">
        <v>754</v>
      </c>
      <c r="B283" s="11"/>
      <c r="C283" s="130"/>
      <c r="D283" s="170" t="s">
        <v>345</v>
      </c>
      <c r="E283" s="33">
        <f>E284</f>
        <v>10773573.15</v>
      </c>
      <c r="F283" s="33">
        <f>F284</f>
        <v>10723092</v>
      </c>
      <c r="G283" s="33">
        <f>G284</f>
        <v>10944482.5</v>
      </c>
      <c r="H283" s="33">
        <f>H284</f>
        <v>10944000</v>
      </c>
      <c r="I283" s="361">
        <f t="shared" si="3"/>
        <v>101.5863757327345</v>
      </c>
    </row>
    <row r="284" spans="1:9" s="53" customFormat="1" ht="25.5" customHeight="1">
      <c r="A284" s="142"/>
      <c r="B284" s="23">
        <v>75411</v>
      </c>
      <c r="C284" s="142"/>
      <c r="D284" s="193" t="s">
        <v>371</v>
      </c>
      <c r="E284" s="90">
        <f>SUM(E285:E288)</f>
        <v>10773573.15</v>
      </c>
      <c r="F284" s="90">
        <f>SUM(F285:F288)</f>
        <v>10723092</v>
      </c>
      <c r="G284" s="90">
        <f>SUM(G285:G288)</f>
        <v>10944482.5</v>
      </c>
      <c r="H284" s="90">
        <f>SUM(H285:H288)</f>
        <v>10944000</v>
      </c>
      <c r="I284" s="268">
        <f t="shared" si="3"/>
        <v>101.5863757327345</v>
      </c>
    </row>
    <row r="285" spans="1:9" ht="49.5" customHeight="1">
      <c r="A285" s="182"/>
      <c r="B285" s="17"/>
      <c r="C285" s="144">
        <v>2110</v>
      </c>
      <c r="D285" s="175" t="s">
        <v>118</v>
      </c>
      <c r="E285" s="52">
        <f>28600+10214492</f>
        <v>10243092</v>
      </c>
      <c r="F285" s="177">
        <f>28600+10214492</f>
        <v>10243092</v>
      </c>
      <c r="G285" s="52">
        <v>10544000</v>
      </c>
      <c r="H285" s="177">
        <v>10544000</v>
      </c>
      <c r="I285" s="268">
        <f t="shared" si="3"/>
        <v>102.937667649573</v>
      </c>
    </row>
    <row r="286" spans="1:9" ht="55.5" customHeight="1">
      <c r="A286" s="182"/>
      <c r="B286" s="17"/>
      <c r="C286" s="143">
        <v>2360</v>
      </c>
      <c r="D286" s="163" t="s">
        <v>336</v>
      </c>
      <c r="E286" s="52">
        <v>481.15</v>
      </c>
      <c r="F286" s="176"/>
      <c r="G286" s="52">
        <v>482.5</v>
      </c>
      <c r="H286" s="176"/>
      <c r="I286" s="268">
        <f aca="true" t="shared" si="4" ref="I286:I376">G286/E286*100</f>
        <v>100.28057778239634</v>
      </c>
    </row>
    <row r="287" spans="1:9" ht="64.5" customHeight="1">
      <c r="A287" s="182"/>
      <c r="B287" s="17"/>
      <c r="C287" s="143" t="s">
        <v>163</v>
      </c>
      <c r="D287" s="172" t="s">
        <v>169</v>
      </c>
      <c r="E287" s="52">
        <v>50000</v>
      </c>
      <c r="F287" s="176"/>
      <c r="G287" s="52"/>
      <c r="H287" s="176"/>
      <c r="I287" s="268"/>
    </row>
    <row r="288" spans="1:9" ht="59.25" customHeight="1">
      <c r="A288" s="141"/>
      <c r="B288" s="17"/>
      <c r="C288" s="143" t="s">
        <v>452</v>
      </c>
      <c r="D288" s="172" t="s">
        <v>247</v>
      </c>
      <c r="E288" s="52">
        <v>480000</v>
      </c>
      <c r="F288" s="176">
        <v>480000</v>
      </c>
      <c r="G288" s="52">
        <v>400000</v>
      </c>
      <c r="H288" s="176">
        <v>400000</v>
      </c>
      <c r="I288" s="268">
        <f t="shared" si="4"/>
        <v>83.33333333333334</v>
      </c>
    </row>
    <row r="289" spans="1:9" ht="49.5" customHeight="1">
      <c r="A289" s="140">
        <v>756</v>
      </c>
      <c r="B289" s="11"/>
      <c r="C289" s="130"/>
      <c r="D289" s="170" t="s">
        <v>305</v>
      </c>
      <c r="E289" s="83">
        <f>E290+E297</f>
        <v>20435719</v>
      </c>
      <c r="F289" s="72"/>
      <c r="G289" s="83">
        <f>G290+G297</f>
        <v>21277531</v>
      </c>
      <c r="H289" s="72"/>
      <c r="I289" s="361">
        <f t="shared" si="4"/>
        <v>104.11931677079724</v>
      </c>
    </row>
    <row r="290" spans="1:9" s="53" customFormat="1" ht="42" customHeight="1">
      <c r="A290" s="181"/>
      <c r="B290" s="29">
        <v>75618</v>
      </c>
      <c r="C290" s="138"/>
      <c r="D290" s="193" t="s">
        <v>270</v>
      </c>
      <c r="E290" s="239">
        <f>SUM(E291:E296)</f>
        <v>2721170</v>
      </c>
      <c r="F290" s="225"/>
      <c r="G290" s="239">
        <f>SUM(G291:G296)</f>
        <v>3114000</v>
      </c>
      <c r="H290" s="225"/>
      <c r="I290" s="268">
        <f t="shared" si="4"/>
        <v>114.43606977880837</v>
      </c>
    </row>
    <row r="291" spans="1:9" ht="18" customHeight="1">
      <c r="A291" s="185"/>
      <c r="B291" s="13"/>
      <c r="C291" s="143" t="s">
        <v>549</v>
      </c>
      <c r="D291" s="163" t="s">
        <v>550</v>
      </c>
      <c r="E291" s="26">
        <v>1650000</v>
      </c>
      <c r="F291" s="126"/>
      <c r="G291" s="26">
        <f>1950000-300000</f>
        <v>1650000</v>
      </c>
      <c r="H291" s="126"/>
      <c r="I291" s="268">
        <f t="shared" si="4"/>
        <v>100</v>
      </c>
    </row>
    <row r="292" spans="1:9" ht="35.25" customHeight="1">
      <c r="A292" s="185"/>
      <c r="B292" s="7"/>
      <c r="C292" s="143" t="s">
        <v>274</v>
      </c>
      <c r="D292" s="163" t="s">
        <v>276</v>
      </c>
      <c r="E292" s="26">
        <f>20000+820000+220000</f>
        <v>1060000</v>
      </c>
      <c r="F292" s="126"/>
      <c r="G292" s="26">
        <f>30000+185000+820000+120000</f>
        <v>1155000</v>
      </c>
      <c r="H292" s="126"/>
      <c r="I292" s="268">
        <f t="shared" si="4"/>
        <v>108.96226415094338</v>
      </c>
    </row>
    <row r="293" spans="1:9" ht="18" customHeight="1">
      <c r="A293" s="185"/>
      <c r="B293" s="7"/>
      <c r="C293" s="143" t="s">
        <v>155</v>
      </c>
      <c r="D293" s="163" t="s">
        <v>156</v>
      </c>
      <c r="E293" s="26"/>
      <c r="F293" s="126"/>
      <c r="G293" s="26">
        <v>300000</v>
      </c>
      <c r="H293" s="126"/>
      <c r="I293" s="268"/>
    </row>
    <row r="294" spans="1:9" ht="17.25" customHeight="1">
      <c r="A294" s="185"/>
      <c r="B294" s="7"/>
      <c r="C294" s="143" t="s">
        <v>467</v>
      </c>
      <c r="D294" s="163" t="s">
        <v>468</v>
      </c>
      <c r="E294" s="26">
        <v>8000</v>
      </c>
      <c r="F294" s="126"/>
      <c r="G294" s="26">
        <v>8000</v>
      </c>
      <c r="H294" s="126"/>
      <c r="I294" s="268">
        <f t="shared" si="4"/>
        <v>100</v>
      </c>
    </row>
    <row r="295" spans="1:9" ht="24.75" customHeight="1">
      <c r="A295" s="185"/>
      <c r="B295" s="7"/>
      <c r="C295" s="144" t="s">
        <v>480</v>
      </c>
      <c r="D295" s="163" t="s">
        <v>385</v>
      </c>
      <c r="E295" s="26">
        <v>2170</v>
      </c>
      <c r="F295" s="126"/>
      <c r="G295" s="26">
        <v>0</v>
      </c>
      <c r="H295" s="126"/>
      <c r="I295" s="268"/>
    </row>
    <row r="296" spans="1:9" ht="20.25" customHeight="1">
      <c r="A296" s="185"/>
      <c r="B296" s="1"/>
      <c r="C296" s="144" t="s">
        <v>334</v>
      </c>
      <c r="D296" s="163" t="s">
        <v>379</v>
      </c>
      <c r="E296" s="26">
        <v>1000</v>
      </c>
      <c r="F296" s="126"/>
      <c r="G296" s="26">
        <v>1000</v>
      </c>
      <c r="H296" s="126"/>
      <c r="I296" s="268">
        <f t="shared" si="4"/>
        <v>100</v>
      </c>
    </row>
    <row r="297" spans="1:9" s="53" customFormat="1" ht="24.75" customHeight="1">
      <c r="A297" s="181"/>
      <c r="B297" s="29">
        <v>75622</v>
      </c>
      <c r="C297" s="138"/>
      <c r="D297" s="193" t="s">
        <v>551</v>
      </c>
      <c r="E297" s="28">
        <f>SUM(E298:E299)</f>
        <v>17714549</v>
      </c>
      <c r="F297" s="225"/>
      <c r="G297" s="28">
        <f>SUM(G298:G299)</f>
        <v>18163531</v>
      </c>
      <c r="H297" s="225"/>
      <c r="I297" s="268">
        <f t="shared" si="4"/>
        <v>102.53453813585658</v>
      </c>
    </row>
    <row r="298" spans="1:9" ht="21" customHeight="1">
      <c r="A298" s="182"/>
      <c r="B298" s="15"/>
      <c r="C298" s="143" t="s">
        <v>278</v>
      </c>
      <c r="D298" s="163" t="s">
        <v>126</v>
      </c>
      <c r="E298" s="26">
        <v>17014549</v>
      </c>
      <c r="F298" s="126"/>
      <c r="G298" s="26">
        <v>17463531</v>
      </c>
      <c r="H298" s="126"/>
      <c r="I298" s="268">
        <f t="shared" si="4"/>
        <v>102.63881223063862</v>
      </c>
    </row>
    <row r="299" spans="1:10" ht="23.25" customHeight="1">
      <c r="A299" s="182"/>
      <c r="B299" s="19"/>
      <c r="C299" s="143" t="s">
        <v>474</v>
      </c>
      <c r="D299" s="163" t="s">
        <v>396</v>
      </c>
      <c r="E299" s="26">
        <v>700000</v>
      </c>
      <c r="F299" s="126"/>
      <c r="G299" s="26">
        <v>700000</v>
      </c>
      <c r="H299" s="126"/>
      <c r="I299" s="268">
        <f t="shared" si="4"/>
        <v>100</v>
      </c>
      <c r="J299" s="50"/>
    </row>
    <row r="300" spans="1:9" ht="22.5" customHeight="1">
      <c r="A300" s="130">
        <v>758</v>
      </c>
      <c r="B300" s="20"/>
      <c r="C300" s="130"/>
      <c r="D300" s="170" t="s">
        <v>346</v>
      </c>
      <c r="E300" s="83">
        <f>E301+E303</f>
        <v>69764171</v>
      </c>
      <c r="F300" s="126"/>
      <c r="G300" s="83">
        <f>G301+G303</f>
        <v>74140830</v>
      </c>
      <c r="H300" s="126"/>
      <c r="I300" s="361">
        <f t="shared" si="4"/>
        <v>106.27350534990232</v>
      </c>
    </row>
    <row r="301" spans="1:9" s="53" customFormat="1" ht="27" customHeight="1">
      <c r="A301" s="181"/>
      <c r="B301" s="23">
        <v>75801</v>
      </c>
      <c r="C301" s="138"/>
      <c r="D301" s="193" t="s">
        <v>475</v>
      </c>
      <c r="E301" s="28">
        <f>E302</f>
        <v>63522755</v>
      </c>
      <c r="F301" s="225"/>
      <c r="G301" s="28">
        <f>G302</f>
        <v>67249941</v>
      </c>
      <c r="H301" s="225"/>
      <c r="I301" s="268">
        <f t="shared" si="4"/>
        <v>105.86748166070568</v>
      </c>
    </row>
    <row r="302" spans="1:10" ht="21" customHeight="1">
      <c r="A302" s="182"/>
      <c r="B302" s="9"/>
      <c r="C302" s="136">
        <v>2920</v>
      </c>
      <c r="D302" s="163" t="s">
        <v>476</v>
      </c>
      <c r="E302" s="26">
        <v>63522755</v>
      </c>
      <c r="F302" s="126"/>
      <c r="G302" s="26">
        <v>67249941</v>
      </c>
      <c r="H302" s="126"/>
      <c r="I302" s="268">
        <f t="shared" si="4"/>
        <v>105.86748166070568</v>
      </c>
      <c r="J302" s="50"/>
    </row>
    <row r="303" spans="1:9" s="53" customFormat="1" ht="24" customHeight="1">
      <c r="A303" s="181"/>
      <c r="B303" s="23">
        <v>75832</v>
      </c>
      <c r="C303" s="138"/>
      <c r="D303" s="193" t="s">
        <v>256</v>
      </c>
      <c r="E303" s="28">
        <f>E304</f>
        <v>6241416</v>
      </c>
      <c r="F303" s="225"/>
      <c r="G303" s="28">
        <f>G304</f>
        <v>6890889</v>
      </c>
      <c r="H303" s="225"/>
      <c r="I303" s="268">
        <f t="shared" si="4"/>
        <v>110.40585982411683</v>
      </c>
    </row>
    <row r="304" spans="1:9" ht="24.75" customHeight="1">
      <c r="A304" s="182"/>
      <c r="B304" s="9"/>
      <c r="C304" s="139">
        <v>2920</v>
      </c>
      <c r="D304" s="163" t="s">
        <v>476</v>
      </c>
      <c r="E304" s="26">
        <v>6241416</v>
      </c>
      <c r="F304" s="126"/>
      <c r="G304" s="26">
        <v>6890889</v>
      </c>
      <c r="H304" s="126"/>
      <c r="I304" s="268">
        <f t="shared" si="4"/>
        <v>110.40585982411683</v>
      </c>
    </row>
    <row r="305" spans="1:10" ht="25.5" customHeight="1">
      <c r="A305" s="130">
        <v>801</v>
      </c>
      <c r="B305" s="11"/>
      <c r="C305" s="130"/>
      <c r="D305" s="170" t="s">
        <v>348</v>
      </c>
      <c r="E305" s="271">
        <f>E306+E310+E313+E318+E323+E330+E336+E339+E342+E346</f>
        <v>1732012.98</v>
      </c>
      <c r="F305" s="271">
        <f>F306+F310+F313+F318+F323+F330+F336+F339+F342+F346</f>
        <v>21909.21</v>
      </c>
      <c r="G305" s="271">
        <f>G306+G310+G313+G318+G323+G330+G336+G339+G342+G346</f>
        <v>1018754</v>
      </c>
      <c r="H305" s="271">
        <f>H306+H310+H313+H318+H323+H330+H336+H339+H342+H346</f>
        <v>0</v>
      </c>
      <c r="I305" s="443">
        <f t="shared" si="4"/>
        <v>58.81907420809283</v>
      </c>
      <c r="J305" s="50"/>
    </row>
    <row r="306" spans="1:10" ht="21" customHeight="1">
      <c r="A306" s="188"/>
      <c r="B306" s="400">
        <v>80102</v>
      </c>
      <c r="C306" s="334"/>
      <c r="D306" s="339" t="s">
        <v>495</v>
      </c>
      <c r="E306" s="234">
        <f>SUM(E307:E309)</f>
        <v>12006.91</v>
      </c>
      <c r="F306" s="234">
        <f>SUM(F307:F309)</f>
        <v>10596.91</v>
      </c>
      <c r="G306" s="234">
        <f>SUM(G307:G309)</f>
        <v>0</v>
      </c>
      <c r="H306" s="234">
        <f>SUM(H307:H309)</f>
        <v>0</v>
      </c>
      <c r="I306" s="362"/>
      <c r="J306" s="50"/>
    </row>
    <row r="307" spans="1:10" ht="24" customHeight="1">
      <c r="A307" s="187"/>
      <c r="B307" s="355"/>
      <c r="C307" s="399" t="s">
        <v>318</v>
      </c>
      <c r="D307" s="163" t="s">
        <v>319</v>
      </c>
      <c r="E307" s="272">
        <v>110</v>
      </c>
      <c r="F307" s="273"/>
      <c r="G307" s="272">
        <v>0</v>
      </c>
      <c r="H307" s="444"/>
      <c r="I307" s="366"/>
      <c r="J307" s="50"/>
    </row>
    <row r="308" spans="1:10" ht="48.75" customHeight="1">
      <c r="A308" s="187"/>
      <c r="B308" s="409"/>
      <c r="C308" s="143" t="s">
        <v>413</v>
      </c>
      <c r="D308" s="163" t="s">
        <v>118</v>
      </c>
      <c r="E308" s="272">
        <v>10596.91</v>
      </c>
      <c r="F308" s="272">
        <v>10596.91</v>
      </c>
      <c r="G308" s="272"/>
      <c r="H308" s="444"/>
      <c r="I308" s="366"/>
      <c r="J308" s="50"/>
    </row>
    <row r="309" spans="1:10" ht="28.5" customHeight="1">
      <c r="A309" s="187"/>
      <c r="B309" s="402"/>
      <c r="C309" s="143">
        <v>2130</v>
      </c>
      <c r="D309" s="163" t="s">
        <v>554</v>
      </c>
      <c r="E309" s="272">
        <v>1300</v>
      </c>
      <c r="F309" s="273"/>
      <c r="G309" s="272"/>
      <c r="H309" s="444"/>
      <c r="I309" s="365"/>
      <c r="J309" s="50"/>
    </row>
    <row r="310" spans="1:9" ht="22.5" customHeight="1">
      <c r="A310" s="188"/>
      <c r="B310" s="401">
        <v>80111</v>
      </c>
      <c r="C310" s="334"/>
      <c r="D310" s="339" t="s">
        <v>496</v>
      </c>
      <c r="E310" s="234">
        <f>SUM(E311:E312)</f>
        <v>11412.3</v>
      </c>
      <c r="F310" s="234">
        <f>SUM(F311:F312)</f>
        <v>11312.3</v>
      </c>
      <c r="G310" s="234">
        <f>SUM(G311:G312)</f>
        <v>0</v>
      </c>
      <c r="H310" s="234">
        <f>SUM(H311:H312)</f>
        <v>0</v>
      </c>
      <c r="I310" s="366"/>
    </row>
    <row r="311" spans="1:9" ht="24" customHeight="1">
      <c r="A311" s="188"/>
      <c r="B311" s="354"/>
      <c r="C311" s="324" t="s">
        <v>318</v>
      </c>
      <c r="D311" s="163" t="s">
        <v>319</v>
      </c>
      <c r="E311" s="272">
        <v>100</v>
      </c>
      <c r="F311" s="273"/>
      <c r="G311" s="272">
        <v>0</v>
      </c>
      <c r="H311" s="444"/>
      <c r="I311" s="362"/>
    </row>
    <row r="312" spans="1:9" ht="53.25" customHeight="1">
      <c r="A312" s="188"/>
      <c r="B312" s="410"/>
      <c r="C312" s="139" t="s">
        <v>413</v>
      </c>
      <c r="D312" s="163" t="s">
        <v>118</v>
      </c>
      <c r="E312" s="272">
        <v>11312.3</v>
      </c>
      <c r="F312" s="272">
        <v>11312.3</v>
      </c>
      <c r="G312" s="272"/>
      <c r="H312" s="444"/>
      <c r="I312" s="365"/>
    </row>
    <row r="313" spans="1:9" ht="29.25" customHeight="1">
      <c r="A313" s="188"/>
      <c r="B313" s="27">
        <v>80114</v>
      </c>
      <c r="C313" s="138"/>
      <c r="D313" s="174" t="s">
        <v>497</v>
      </c>
      <c r="E313" s="234">
        <f>SUM(E314:E317)</f>
        <v>83600</v>
      </c>
      <c r="F313" s="126"/>
      <c r="G313" s="234">
        <f>SUM(G314:G317)</f>
        <v>63800</v>
      </c>
      <c r="H313" s="126"/>
      <c r="I313" s="365">
        <f t="shared" si="4"/>
        <v>76.31578947368422</v>
      </c>
    </row>
    <row r="314" spans="1:9" ht="62.25" customHeight="1">
      <c r="A314" s="187"/>
      <c r="B314" s="18"/>
      <c r="C314" s="143" t="s">
        <v>473</v>
      </c>
      <c r="D314" s="163" t="s">
        <v>383</v>
      </c>
      <c r="E314" s="26">
        <v>80000</v>
      </c>
      <c r="F314" s="126"/>
      <c r="G314" s="26">
        <v>60200</v>
      </c>
      <c r="H314" s="126"/>
      <c r="I314" s="268">
        <f t="shared" si="4"/>
        <v>75.25</v>
      </c>
    </row>
    <row r="315" spans="1:9" ht="20.25" customHeight="1">
      <c r="A315" s="187"/>
      <c r="B315" s="51"/>
      <c r="C315" s="144" t="s">
        <v>334</v>
      </c>
      <c r="D315" s="163" t="s">
        <v>379</v>
      </c>
      <c r="E315" s="26">
        <v>100</v>
      </c>
      <c r="F315" s="126"/>
      <c r="G315" s="26">
        <v>100</v>
      </c>
      <c r="H315" s="126"/>
      <c r="I315" s="268">
        <f t="shared" si="4"/>
        <v>100</v>
      </c>
    </row>
    <row r="316" spans="1:9" ht="28.5" customHeight="1">
      <c r="A316" s="187"/>
      <c r="B316" s="51"/>
      <c r="C316" s="139" t="s">
        <v>113</v>
      </c>
      <c r="D316" s="169" t="s">
        <v>397</v>
      </c>
      <c r="E316" s="26">
        <v>3000</v>
      </c>
      <c r="F316" s="126"/>
      <c r="G316" s="26">
        <v>3000</v>
      </c>
      <c r="H316" s="126"/>
      <c r="I316" s="268">
        <f t="shared" si="4"/>
        <v>100</v>
      </c>
    </row>
    <row r="317" spans="1:9" ht="18.75" customHeight="1">
      <c r="A317" s="187"/>
      <c r="B317" s="5"/>
      <c r="C317" s="143" t="s">
        <v>318</v>
      </c>
      <c r="D317" s="163" t="s">
        <v>319</v>
      </c>
      <c r="E317" s="26">
        <v>500</v>
      </c>
      <c r="F317" s="126"/>
      <c r="G317" s="26">
        <v>500</v>
      </c>
      <c r="H317" s="126"/>
      <c r="I317" s="268">
        <f t="shared" si="4"/>
        <v>100</v>
      </c>
    </row>
    <row r="318" spans="1:9" s="53" customFormat="1" ht="21.75" customHeight="1">
      <c r="A318" s="181"/>
      <c r="B318" s="30">
        <v>80120</v>
      </c>
      <c r="C318" s="138"/>
      <c r="D318" s="193" t="s">
        <v>373</v>
      </c>
      <c r="E318" s="234">
        <f>SUM(E319:E322)</f>
        <v>111720</v>
      </c>
      <c r="F318" s="225"/>
      <c r="G318" s="234">
        <f>SUM(G319:G322)</f>
        <v>109630</v>
      </c>
      <c r="H318" s="225"/>
      <c r="I318" s="268">
        <f t="shared" si="4"/>
        <v>98.12925170068027</v>
      </c>
    </row>
    <row r="319" spans="1:9" s="53" customFormat="1" ht="21.75" customHeight="1">
      <c r="A319" s="184"/>
      <c r="B319" s="31"/>
      <c r="C319" s="143" t="s">
        <v>467</v>
      </c>
      <c r="D319" s="163" t="s">
        <v>468</v>
      </c>
      <c r="E319" s="272">
        <v>1800</v>
      </c>
      <c r="F319" s="225"/>
      <c r="G319" s="272">
        <v>1200</v>
      </c>
      <c r="H319" s="225"/>
      <c r="I319" s="268">
        <f t="shared" si="4"/>
        <v>66.66666666666666</v>
      </c>
    </row>
    <row r="320" spans="1:9" ht="62.25" customHeight="1">
      <c r="A320" s="185"/>
      <c r="B320" s="7"/>
      <c r="C320" s="143" t="s">
        <v>473</v>
      </c>
      <c r="D320" s="163" t="s">
        <v>383</v>
      </c>
      <c r="E320" s="26">
        <v>84900</v>
      </c>
      <c r="F320" s="126"/>
      <c r="G320" s="26">
        <v>86470</v>
      </c>
      <c r="H320" s="126"/>
      <c r="I320" s="268">
        <f t="shared" si="4"/>
        <v>101.849234393404</v>
      </c>
    </row>
    <row r="321" spans="1:9" ht="22.5" customHeight="1">
      <c r="A321" s="185"/>
      <c r="B321" s="7"/>
      <c r="C321" s="144" t="s">
        <v>334</v>
      </c>
      <c r="D321" s="163" t="s">
        <v>379</v>
      </c>
      <c r="E321" s="26">
        <v>20</v>
      </c>
      <c r="F321" s="126"/>
      <c r="G321" s="26">
        <v>0</v>
      </c>
      <c r="H321" s="126"/>
      <c r="I321" s="268"/>
    </row>
    <row r="322" spans="1:9" ht="21.75" customHeight="1">
      <c r="A322" s="185"/>
      <c r="B322" s="1"/>
      <c r="C322" s="143" t="s">
        <v>318</v>
      </c>
      <c r="D322" s="163" t="s">
        <v>319</v>
      </c>
      <c r="E322" s="26">
        <v>25000</v>
      </c>
      <c r="F322" s="126"/>
      <c r="G322" s="26">
        <v>21960</v>
      </c>
      <c r="H322" s="126"/>
      <c r="I322" s="268">
        <f t="shared" si="4"/>
        <v>87.83999999999999</v>
      </c>
    </row>
    <row r="323" spans="1:9" ht="24.75" customHeight="1">
      <c r="A323" s="182"/>
      <c r="B323" s="24">
        <v>80130</v>
      </c>
      <c r="C323" s="132"/>
      <c r="D323" s="174" t="s">
        <v>416</v>
      </c>
      <c r="E323" s="28">
        <f>SUM(E324:E329)</f>
        <v>262115</v>
      </c>
      <c r="F323" s="225"/>
      <c r="G323" s="28">
        <f>SUM(G324:G329)</f>
        <v>223379</v>
      </c>
      <c r="H323" s="225"/>
      <c r="I323" s="268">
        <f t="shared" si="4"/>
        <v>85.22175381035042</v>
      </c>
    </row>
    <row r="324" spans="1:9" ht="21.75" customHeight="1">
      <c r="A324" s="182"/>
      <c r="B324" s="30"/>
      <c r="C324" s="143" t="s">
        <v>467</v>
      </c>
      <c r="D324" s="163" t="s">
        <v>468</v>
      </c>
      <c r="E324" s="26">
        <v>4955</v>
      </c>
      <c r="F324" s="225"/>
      <c r="G324" s="26">
        <v>5025</v>
      </c>
      <c r="H324" s="225"/>
      <c r="I324" s="268">
        <f t="shared" si="4"/>
        <v>101.41271442986881</v>
      </c>
    </row>
    <row r="325" spans="1:9" ht="63" customHeight="1">
      <c r="A325" s="182"/>
      <c r="B325" s="17"/>
      <c r="C325" s="143" t="s">
        <v>473</v>
      </c>
      <c r="D325" s="163" t="s">
        <v>383</v>
      </c>
      <c r="E325" s="26">
        <v>160000</v>
      </c>
      <c r="F325" s="126"/>
      <c r="G325" s="26">
        <v>133374</v>
      </c>
      <c r="H325" s="126"/>
      <c r="I325" s="268">
        <f t="shared" si="4"/>
        <v>83.35875</v>
      </c>
    </row>
    <row r="326" spans="1:9" ht="17.25" customHeight="1">
      <c r="A326" s="182"/>
      <c r="B326" s="17"/>
      <c r="C326" s="143" t="s">
        <v>470</v>
      </c>
      <c r="D326" s="163" t="s">
        <v>471</v>
      </c>
      <c r="E326" s="26">
        <v>300</v>
      </c>
      <c r="F326" s="126"/>
      <c r="G326" s="26">
        <v>300</v>
      </c>
      <c r="H326" s="126"/>
      <c r="I326" s="268">
        <f t="shared" si="4"/>
        <v>100</v>
      </c>
    </row>
    <row r="327" spans="1:9" ht="17.25" customHeight="1">
      <c r="A327" s="182"/>
      <c r="B327" s="17"/>
      <c r="C327" s="144" t="s">
        <v>334</v>
      </c>
      <c r="D327" s="163" t="s">
        <v>379</v>
      </c>
      <c r="E327" s="26">
        <v>400</v>
      </c>
      <c r="F327" s="126"/>
      <c r="G327" s="26">
        <v>0</v>
      </c>
      <c r="H327" s="126"/>
      <c r="I327" s="268"/>
    </row>
    <row r="328" spans="1:9" ht="19.5" customHeight="1">
      <c r="A328" s="182"/>
      <c r="B328" s="17"/>
      <c r="C328" s="143" t="s">
        <v>318</v>
      </c>
      <c r="D328" s="163" t="s">
        <v>319</v>
      </c>
      <c r="E328" s="26">
        <v>92596</v>
      </c>
      <c r="F328" s="126"/>
      <c r="G328" s="26">
        <v>84680</v>
      </c>
      <c r="H328" s="126"/>
      <c r="I328" s="268">
        <f t="shared" si="4"/>
        <v>91.45103460192665</v>
      </c>
    </row>
    <row r="329" spans="1:9" ht="48.75" customHeight="1">
      <c r="A329" s="182"/>
      <c r="B329" s="17"/>
      <c r="C329" s="143" t="s">
        <v>193</v>
      </c>
      <c r="D329" s="163" t="s">
        <v>482</v>
      </c>
      <c r="E329" s="26">
        <v>3864</v>
      </c>
      <c r="F329" s="126"/>
      <c r="G329" s="26">
        <v>0</v>
      </c>
      <c r="H329" s="126"/>
      <c r="I329" s="268"/>
    </row>
    <row r="330" spans="1:9" s="53" customFormat="1" ht="42" customHeight="1">
      <c r="A330" s="181"/>
      <c r="B330" s="27">
        <v>80140</v>
      </c>
      <c r="C330" s="132"/>
      <c r="D330" s="174" t="s">
        <v>138</v>
      </c>
      <c r="E330" s="28">
        <f>SUM(E331:E335)</f>
        <v>192850</v>
      </c>
      <c r="F330" s="225"/>
      <c r="G330" s="28">
        <f>SUM(G331:G335)</f>
        <v>115150</v>
      </c>
      <c r="H330" s="225"/>
      <c r="I330" s="268">
        <f t="shared" si="4"/>
        <v>59.70961887477314</v>
      </c>
    </row>
    <row r="331" spans="1:9" s="53" customFormat="1" ht="19.5" customHeight="1">
      <c r="A331" s="184"/>
      <c r="B331" s="31"/>
      <c r="C331" s="143" t="s">
        <v>467</v>
      </c>
      <c r="D331" s="163" t="s">
        <v>468</v>
      </c>
      <c r="E331" s="26">
        <v>50000</v>
      </c>
      <c r="F331" s="225"/>
      <c r="G331" s="26">
        <v>15500</v>
      </c>
      <c r="H331" s="225"/>
      <c r="I331" s="268">
        <f t="shared" si="4"/>
        <v>31</v>
      </c>
    </row>
    <row r="332" spans="1:9" s="53" customFormat="1" ht="60.75" customHeight="1">
      <c r="A332" s="184"/>
      <c r="B332" s="32"/>
      <c r="C332" s="143" t="s">
        <v>473</v>
      </c>
      <c r="D332" s="163" t="s">
        <v>383</v>
      </c>
      <c r="E332" s="26">
        <v>75000</v>
      </c>
      <c r="F332" s="225"/>
      <c r="G332" s="26">
        <v>32500</v>
      </c>
      <c r="H332" s="225"/>
      <c r="I332" s="268">
        <f t="shared" si="4"/>
        <v>43.333333333333336</v>
      </c>
    </row>
    <row r="333" spans="1:9" ht="18.75" customHeight="1">
      <c r="A333" s="185"/>
      <c r="B333" s="7"/>
      <c r="C333" s="143" t="s">
        <v>470</v>
      </c>
      <c r="D333" s="163" t="s">
        <v>471</v>
      </c>
      <c r="E333" s="26">
        <v>66100</v>
      </c>
      <c r="F333" s="126"/>
      <c r="G333" s="26">
        <v>65650</v>
      </c>
      <c r="H333" s="126"/>
      <c r="I333" s="268">
        <f t="shared" si="4"/>
        <v>99.31921331316188</v>
      </c>
    </row>
    <row r="334" spans="1:9" ht="18.75" customHeight="1">
      <c r="A334" s="185"/>
      <c r="B334" s="7"/>
      <c r="C334" s="144" t="s">
        <v>334</v>
      </c>
      <c r="D334" s="163" t="s">
        <v>379</v>
      </c>
      <c r="E334" s="26">
        <v>50</v>
      </c>
      <c r="F334" s="126"/>
      <c r="G334" s="26">
        <v>0</v>
      </c>
      <c r="H334" s="126"/>
      <c r="I334" s="268">
        <f t="shared" si="4"/>
        <v>0</v>
      </c>
    </row>
    <row r="335" spans="1:9" ht="17.25" customHeight="1">
      <c r="A335" s="185"/>
      <c r="B335" s="7"/>
      <c r="C335" s="143" t="s">
        <v>318</v>
      </c>
      <c r="D335" s="163" t="s">
        <v>319</v>
      </c>
      <c r="E335" s="26">
        <v>1700</v>
      </c>
      <c r="F335" s="126"/>
      <c r="G335" s="26">
        <v>1500</v>
      </c>
      <c r="H335" s="126"/>
      <c r="I335" s="268">
        <f t="shared" si="4"/>
        <v>88.23529411764706</v>
      </c>
    </row>
    <row r="336" spans="1:9" s="53" customFormat="1" ht="21.75" customHeight="1">
      <c r="A336" s="184"/>
      <c r="B336" s="24">
        <v>80145</v>
      </c>
      <c r="C336" s="132"/>
      <c r="D336" s="193" t="s">
        <v>303</v>
      </c>
      <c r="E336" s="28">
        <f>SUM(E337:E338)</f>
        <v>18766</v>
      </c>
      <c r="F336" s="225"/>
      <c r="G336" s="28">
        <f>SUM(G337:G338)</f>
        <v>17620</v>
      </c>
      <c r="H336" s="225"/>
      <c r="I336" s="268">
        <f t="shared" si="4"/>
        <v>93.89321112650538</v>
      </c>
    </row>
    <row r="337" spans="1:9" s="53" customFormat="1" ht="21.75" customHeight="1">
      <c r="A337" s="184"/>
      <c r="B337" s="35"/>
      <c r="C337" s="143" t="s">
        <v>467</v>
      </c>
      <c r="D337" s="163" t="s">
        <v>468</v>
      </c>
      <c r="E337" s="26">
        <v>30</v>
      </c>
      <c r="F337" s="126"/>
      <c r="G337" s="26">
        <v>0</v>
      </c>
      <c r="H337" s="225"/>
      <c r="I337" s="268"/>
    </row>
    <row r="338" spans="1:9" ht="18" customHeight="1">
      <c r="A338" s="185"/>
      <c r="B338" s="1"/>
      <c r="C338" s="143" t="s">
        <v>318</v>
      </c>
      <c r="D338" s="163" t="s">
        <v>319</v>
      </c>
      <c r="E338" s="26">
        <v>18736</v>
      </c>
      <c r="F338" s="126"/>
      <c r="G338" s="26">
        <v>17620</v>
      </c>
      <c r="H338" s="126"/>
      <c r="I338" s="268">
        <f t="shared" si="4"/>
        <v>94.04355251921434</v>
      </c>
    </row>
    <row r="339" spans="1:9" s="53" customFormat="1" ht="23.25" customHeight="1">
      <c r="A339" s="181"/>
      <c r="B339" s="30">
        <v>80146</v>
      </c>
      <c r="C339" s="138"/>
      <c r="D339" s="193" t="s">
        <v>257</v>
      </c>
      <c r="E339" s="234">
        <f>SUM(E340:E341)</f>
        <v>90060</v>
      </c>
      <c r="F339" s="225"/>
      <c r="G339" s="234">
        <f>SUM(G340:G341)</f>
        <v>250000</v>
      </c>
      <c r="H339" s="225"/>
      <c r="I339" s="268">
        <f t="shared" si="4"/>
        <v>277.592715967133</v>
      </c>
    </row>
    <row r="340" spans="1:9" ht="20.25" customHeight="1">
      <c r="A340" s="185"/>
      <c r="B340" s="13"/>
      <c r="C340" s="143" t="s">
        <v>470</v>
      </c>
      <c r="D340" s="163" t="s">
        <v>471</v>
      </c>
      <c r="E340" s="26">
        <v>90000</v>
      </c>
      <c r="F340" s="126"/>
      <c r="G340" s="26">
        <v>250000</v>
      </c>
      <c r="H340" s="126"/>
      <c r="I340" s="268">
        <f t="shared" si="4"/>
        <v>277.77777777777777</v>
      </c>
    </row>
    <row r="341" spans="1:9" ht="20.25" customHeight="1">
      <c r="A341" s="185"/>
      <c r="B341" s="1"/>
      <c r="C341" s="143" t="s">
        <v>318</v>
      </c>
      <c r="D341" s="163" t="s">
        <v>319</v>
      </c>
      <c r="E341" s="26">
        <v>60</v>
      </c>
      <c r="F341" s="126"/>
      <c r="G341" s="26">
        <v>0</v>
      </c>
      <c r="H341" s="126"/>
      <c r="I341" s="268"/>
    </row>
    <row r="342" spans="1:9" s="53" customFormat="1" ht="22.5" customHeight="1">
      <c r="A342" s="184"/>
      <c r="B342" s="35">
        <v>80148</v>
      </c>
      <c r="C342" s="132"/>
      <c r="D342" s="193" t="s">
        <v>304</v>
      </c>
      <c r="E342" s="28">
        <f>SUM(E343:E345)</f>
        <v>185000</v>
      </c>
      <c r="F342" s="225"/>
      <c r="G342" s="28">
        <f>SUM(G343:G345)</f>
        <v>239175</v>
      </c>
      <c r="H342" s="225"/>
      <c r="I342" s="268">
        <f t="shared" si="4"/>
        <v>129.28378378378378</v>
      </c>
    </row>
    <row r="343" spans="1:9" ht="20.25" customHeight="1">
      <c r="A343" s="185"/>
      <c r="B343" s="13"/>
      <c r="C343" s="143" t="s">
        <v>467</v>
      </c>
      <c r="D343" s="163" t="s">
        <v>468</v>
      </c>
      <c r="E343" s="26">
        <v>9000</v>
      </c>
      <c r="F343" s="126"/>
      <c r="G343" s="26">
        <v>18000</v>
      </c>
      <c r="H343" s="126"/>
      <c r="I343" s="268">
        <f t="shared" si="4"/>
        <v>200</v>
      </c>
    </row>
    <row r="344" spans="1:9" ht="20.25" customHeight="1">
      <c r="A344" s="185"/>
      <c r="B344" s="7"/>
      <c r="C344" s="143" t="s">
        <v>470</v>
      </c>
      <c r="D344" s="163" t="s">
        <v>471</v>
      </c>
      <c r="E344" s="26">
        <v>170000</v>
      </c>
      <c r="F344" s="126"/>
      <c r="G344" s="26">
        <v>215495</v>
      </c>
      <c r="H344" s="126"/>
      <c r="I344" s="268">
        <f t="shared" si="4"/>
        <v>126.76176470588236</v>
      </c>
    </row>
    <row r="345" spans="1:9" ht="16.5" customHeight="1">
      <c r="A345" s="185"/>
      <c r="B345" s="1"/>
      <c r="C345" s="143" t="s">
        <v>318</v>
      </c>
      <c r="D345" s="163" t="s">
        <v>319</v>
      </c>
      <c r="E345" s="26">
        <v>6000</v>
      </c>
      <c r="F345" s="126"/>
      <c r="G345" s="26">
        <v>5680</v>
      </c>
      <c r="H345" s="126"/>
      <c r="I345" s="268">
        <f t="shared" si="4"/>
        <v>94.66666666666667</v>
      </c>
    </row>
    <row r="346" spans="1:9" ht="16.5" customHeight="1">
      <c r="A346" s="185"/>
      <c r="B346" s="334">
        <v>80195</v>
      </c>
      <c r="C346" s="317"/>
      <c r="D346" s="335" t="s">
        <v>343</v>
      </c>
      <c r="E346" s="28">
        <f>SUM(E347:E350)</f>
        <v>764482.77</v>
      </c>
      <c r="F346" s="225"/>
      <c r="G346" s="28">
        <v>0</v>
      </c>
      <c r="H346" s="225"/>
      <c r="I346" s="362"/>
    </row>
    <row r="347" spans="1:9" ht="82.5" customHeight="1">
      <c r="A347" s="185"/>
      <c r="B347" s="32"/>
      <c r="C347" s="136">
        <v>2007</v>
      </c>
      <c r="D347" s="163" t="s">
        <v>141</v>
      </c>
      <c r="E347" s="26">
        <v>139294.42</v>
      </c>
      <c r="F347" s="126"/>
      <c r="G347" s="26"/>
      <c r="H347" s="233"/>
      <c r="I347" s="362"/>
    </row>
    <row r="348" spans="1:9" ht="87.75" customHeight="1">
      <c r="A348" s="185"/>
      <c r="B348" s="32"/>
      <c r="C348" s="136">
        <v>2009</v>
      </c>
      <c r="D348" s="163" t="s">
        <v>141</v>
      </c>
      <c r="E348" s="26">
        <v>8435.37</v>
      </c>
      <c r="F348" s="126"/>
      <c r="G348" s="26"/>
      <c r="H348" s="233"/>
      <c r="I348" s="366"/>
    </row>
    <row r="349" spans="1:9" ht="48" customHeight="1">
      <c r="A349" s="185"/>
      <c r="B349" s="32"/>
      <c r="C349" s="136" t="s">
        <v>170</v>
      </c>
      <c r="D349" s="198" t="s">
        <v>548</v>
      </c>
      <c r="E349" s="26">
        <v>21250</v>
      </c>
      <c r="F349" s="126"/>
      <c r="G349" s="26"/>
      <c r="H349" s="233"/>
      <c r="I349" s="366"/>
    </row>
    <row r="350" spans="1:9" ht="48" customHeight="1">
      <c r="A350" s="185"/>
      <c r="B350" s="1"/>
      <c r="C350" s="328">
        <v>2701</v>
      </c>
      <c r="D350" s="338" t="s">
        <v>482</v>
      </c>
      <c r="E350" s="26">
        <v>595502.98</v>
      </c>
      <c r="F350" s="126"/>
      <c r="G350" s="26"/>
      <c r="H350" s="233"/>
      <c r="I350" s="365"/>
    </row>
    <row r="351" spans="1:9" ht="24" customHeight="1">
      <c r="A351" s="130">
        <v>852</v>
      </c>
      <c r="B351" s="11"/>
      <c r="C351" s="130"/>
      <c r="D351" s="170" t="s">
        <v>422</v>
      </c>
      <c r="E351" s="83">
        <f>E352+E355+E360+E365+E367</f>
        <v>4520260</v>
      </c>
      <c r="F351" s="83">
        <f>F352+F355+F360+F365+F367</f>
        <v>7000</v>
      </c>
      <c r="G351" s="83">
        <f>G352+G355+G360+G365+G367</f>
        <v>4543014</v>
      </c>
      <c r="H351" s="83">
        <f>H352+H355+H360+H365+H367</f>
        <v>0</v>
      </c>
      <c r="I351" s="367">
        <f t="shared" si="4"/>
        <v>100.5033781242672</v>
      </c>
    </row>
    <row r="352" spans="1:9" s="53" customFormat="1" ht="22.5" customHeight="1">
      <c r="A352" s="181"/>
      <c r="B352" s="24">
        <v>85201</v>
      </c>
      <c r="C352" s="138"/>
      <c r="D352" s="193" t="s">
        <v>552</v>
      </c>
      <c r="E352" s="274">
        <f>SUM(E353:E354)</f>
        <v>254000</v>
      </c>
      <c r="F352" s="225"/>
      <c r="G352" s="274">
        <f>SUM(G353:G354)</f>
        <v>250000</v>
      </c>
      <c r="H352" s="225"/>
      <c r="I352" s="268">
        <f t="shared" si="4"/>
        <v>98.4251968503937</v>
      </c>
    </row>
    <row r="353" spans="1:9" s="53" customFormat="1" ht="22.5" customHeight="1">
      <c r="A353" s="184"/>
      <c r="B353" s="32"/>
      <c r="C353" s="143" t="s">
        <v>470</v>
      </c>
      <c r="D353" s="163" t="s">
        <v>471</v>
      </c>
      <c r="E353" s="275">
        <v>250000</v>
      </c>
      <c r="F353" s="225"/>
      <c r="G353" s="275">
        <v>250000</v>
      </c>
      <c r="H353" s="225"/>
      <c r="I353" s="268">
        <f t="shared" si="4"/>
        <v>100</v>
      </c>
    </row>
    <row r="354" spans="1:9" ht="18.75" customHeight="1">
      <c r="A354" s="185"/>
      <c r="B354" s="7"/>
      <c r="C354" s="143" t="s">
        <v>318</v>
      </c>
      <c r="D354" s="163" t="s">
        <v>319</v>
      </c>
      <c r="E354" s="26">
        <v>4000</v>
      </c>
      <c r="F354" s="126"/>
      <c r="G354" s="26">
        <v>0</v>
      </c>
      <c r="H354" s="126"/>
      <c r="I354" s="268"/>
    </row>
    <row r="355" spans="1:10" s="53" customFormat="1" ht="25.5" customHeight="1">
      <c r="A355" s="181"/>
      <c r="B355" s="24">
        <v>85202</v>
      </c>
      <c r="C355" s="138"/>
      <c r="D355" s="193" t="s">
        <v>553</v>
      </c>
      <c r="E355" s="28">
        <f>SUM(E356:E359)</f>
        <v>4048332</v>
      </c>
      <c r="F355" s="225"/>
      <c r="G355" s="28">
        <f>SUM(G356:G359)</f>
        <v>4125336</v>
      </c>
      <c r="H355" s="225"/>
      <c r="I355" s="268">
        <f t="shared" si="4"/>
        <v>101.90211672362838</v>
      </c>
      <c r="J355" s="356"/>
    </row>
    <row r="356" spans="1:9" ht="61.5" customHeight="1">
      <c r="A356" s="182"/>
      <c r="B356" s="17"/>
      <c r="C356" s="143" t="s">
        <v>473</v>
      </c>
      <c r="D356" s="163" t="s">
        <v>399</v>
      </c>
      <c r="E356" s="26">
        <v>4796</v>
      </c>
      <c r="F356" s="126"/>
      <c r="G356" s="26">
        <v>4796</v>
      </c>
      <c r="H356" s="126"/>
      <c r="I356" s="268">
        <f t="shared" si="4"/>
        <v>100</v>
      </c>
    </row>
    <row r="357" spans="1:9" ht="20.25" customHeight="1">
      <c r="A357" s="182"/>
      <c r="B357" s="17"/>
      <c r="C357" s="143" t="s">
        <v>470</v>
      </c>
      <c r="D357" s="163" t="s">
        <v>471</v>
      </c>
      <c r="E357" s="26">
        <v>3310070</v>
      </c>
      <c r="F357" s="126"/>
      <c r="G357" s="26">
        <v>3377000</v>
      </c>
      <c r="H357" s="126"/>
      <c r="I357" s="268">
        <f t="shared" si="4"/>
        <v>102.02201161908964</v>
      </c>
    </row>
    <row r="358" spans="1:9" ht="22.5" customHeight="1">
      <c r="A358" s="182"/>
      <c r="B358" s="17"/>
      <c r="C358" s="143" t="s">
        <v>318</v>
      </c>
      <c r="D358" s="163" t="s">
        <v>319</v>
      </c>
      <c r="E358" s="26">
        <v>1200</v>
      </c>
      <c r="F358" s="126"/>
      <c r="G358" s="26">
        <v>1200</v>
      </c>
      <c r="H358" s="126"/>
      <c r="I358" s="268">
        <f t="shared" si="4"/>
        <v>100</v>
      </c>
    </row>
    <row r="359" spans="1:9" ht="30.75" customHeight="1">
      <c r="A359" s="182"/>
      <c r="B359" s="17"/>
      <c r="C359" s="143">
        <v>2130</v>
      </c>
      <c r="D359" s="163" t="s">
        <v>554</v>
      </c>
      <c r="E359" s="26">
        <v>732266</v>
      </c>
      <c r="F359" s="126"/>
      <c r="G359" s="26">
        <v>742340</v>
      </c>
      <c r="H359" s="126"/>
      <c r="I359" s="268">
        <f t="shared" si="4"/>
        <v>101.3757295846045</v>
      </c>
    </row>
    <row r="360" spans="1:9" s="53" customFormat="1" ht="20.25" customHeight="1">
      <c r="A360" s="181"/>
      <c r="B360" s="24">
        <v>85204</v>
      </c>
      <c r="C360" s="132"/>
      <c r="D360" s="193" t="s">
        <v>123</v>
      </c>
      <c r="E360" s="28">
        <f>SUM(E361:E364)</f>
        <v>198928</v>
      </c>
      <c r="F360" s="225"/>
      <c r="G360" s="28">
        <f>SUM(G361:G364)</f>
        <v>167678</v>
      </c>
      <c r="H360" s="225"/>
      <c r="I360" s="268">
        <f t="shared" si="4"/>
        <v>84.29079868092978</v>
      </c>
    </row>
    <row r="361" spans="1:9" ht="27" customHeight="1">
      <c r="A361" s="182"/>
      <c r="B361" s="17"/>
      <c r="C361" s="143" t="s">
        <v>144</v>
      </c>
      <c r="D361" s="163" t="s">
        <v>152</v>
      </c>
      <c r="E361" s="26">
        <v>0</v>
      </c>
      <c r="F361" s="126"/>
      <c r="G361" s="26">
        <v>2100</v>
      </c>
      <c r="H361" s="126"/>
      <c r="I361" s="268"/>
    </row>
    <row r="362" spans="1:10" s="53" customFormat="1" ht="20.25" customHeight="1">
      <c r="A362" s="181"/>
      <c r="B362" s="30"/>
      <c r="C362" s="143" t="s">
        <v>470</v>
      </c>
      <c r="D362" s="163" t="s">
        <v>471</v>
      </c>
      <c r="E362" s="26">
        <v>165578</v>
      </c>
      <c r="F362" s="225"/>
      <c r="G362" s="26">
        <v>165578</v>
      </c>
      <c r="H362" s="225"/>
      <c r="I362" s="268">
        <f t="shared" si="4"/>
        <v>100</v>
      </c>
      <c r="J362" s="356"/>
    </row>
    <row r="363" spans="1:9" s="53" customFormat="1" ht="20.25" customHeight="1">
      <c r="A363" s="181"/>
      <c r="B363" s="30"/>
      <c r="C363" s="143" t="s">
        <v>318</v>
      </c>
      <c r="D363" s="163" t="s">
        <v>319</v>
      </c>
      <c r="E363" s="26">
        <v>2100</v>
      </c>
      <c r="F363" s="120"/>
      <c r="G363" s="26">
        <v>0</v>
      </c>
      <c r="H363" s="120"/>
      <c r="I363" s="268"/>
    </row>
    <row r="364" spans="1:9" s="53" customFormat="1" ht="29.25" customHeight="1">
      <c r="A364" s="181"/>
      <c r="B364" s="30"/>
      <c r="C364" s="143">
        <v>2130</v>
      </c>
      <c r="D364" s="163" t="s">
        <v>554</v>
      </c>
      <c r="E364" s="26">
        <v>31250</v>
      </c>
      <c r="F364" s="239"/>
      <c r="G364" s="26">
        <v>0</v>
      </c>
      <c r="H364" s="239"/>
      <c r="I364" s="268"/>
    </row>
    <row r="365" spans="1:9" s="53" customFormat="1" ht="24" customHeight="1">
      <c r="A365" s="181"/>
      <c r="B365" s="334">
        <v>85205</v>
      </c>
      <c r="C365" s="334"/>
      <c r="D365" s="339" t="s">
        <v>300</v>
      </c>
      <c r="E365" s="28">
        <f>E366</f>
        <v>7000</v>
      </c>
      <c r="F365" s="28">
        <f>F366</f>
        <v>7000</v>
      </c>
      <c r="G365" s="28">
        <f>G366</f>
        <v>0</v>
      </c>
      <c r="H365" s="28">
        <f>H366</f>
        <v>0</v>
      </c>
      <c r="I365" s="268"/>
    </row>
    <row r="366" spans="1:9" s="53" customFormat="1" ht="45.75" customHeight="1">
      <c r="A366" s="181"/>
      <c r="B366" s="403"/>
      <c r="C366" s="333">
        <v>2110</v>
      </c>
      <c r="D366" s="325" t="s">
        <v>118</v>
      </c>
      <c r="E366" s="26">
        <v>7000</v>
      </c>
      <c r="F366" s="120">
        <v>7000</v>
      </c>
      <c r="G366" s="26">
        <v>0</v>
      </c>
      <c r="H366" s="87">
        <v>0</v>
      </c>
      <c r="I366" s="268"/>
    </row>
    <row r="367" spans="1:9" s="53" customFormat="1" ht="39.75" customHeight="1">
      <c r="A367" s="181"/>
      <c r="B367" s="24">
        <v>85220</v>
      </c>
      <c r="C367" s="24"/>
      <c r="D367" s="174" t="s">
        <v>259</v>
      </c>
      <c r="E367" s="28">
        <f>E368</f>
        <v>12000</v>
      </c>
      <c r="F367" s="28">
        <f>F368</f>
        <v>0</v>
      </c>
      <c r="G367" s="28">
        <f>G368</f>
        <v>0</v>
      </c>
      <c r="H367" s="28">
        <f>H368</f>
        <v>0</v>
      </c>
      <c r="I367" s="268"/>
    </row>
    <row r="368" spans="1:9" s="53" customFormat="1" ht="30.75" customHeight="1">
      <c r="A368" s="181"/>
      <c r="B368" s="30"/>
      <c r="C368" s="143">
        <v>2130</v>
      </c>
      <c r="D368" s="163" t="s">
        <v>554</v>
      </c>
      <c r="E368" s="26">
        <v>12000</v>
      </c>
      <c r="F368" s="120"/>
      <c r="G368" s="26"/>
      <c r="H368" s="87"/>
      <c r="I368" s="268"/>
    </row>
    <row r="369" spans="1:9" ht="28.5" customHeight="1">
      <c r="A369" s="130">
        <v>853</v>
      </c>
      <c r="B369" s="11"/>
      <c r="C369" s="130"/>
      <c r="D369" s="170" t="s">
        <v>439</v>
      </c>
      <c r="E369" s="33">
        <f>E370+E373+E377</f>
        <v>871255.56</v>
      </c>
      <c r="F369" s="125">
        <f>F370+F373+F377</f>
        <v>447080</v>
      </c>
      <c r="G369" s="33">
        <f>G370+G373+G377</f>
        <v>588965.21</v>
      </c>
      <c r="H369" s="125">
        <f>H370+H373+H377</f>
        <v>196916</v>
      </c>
      <c r="I369" s="361">
        <f t="shared" si="4"/>
        <v>67.59959270733377</v>
      </c>
    </row>
    <row r="370" spans="1:9" s="53" customFormat="1" ht="27.75" customHeight="1">
      <c r="A370" s="181"/>
      <c r="B370" s="27">
        <v>85311</v>
      </c>
      <c r="C370" s="147"/>
      <c r="D370" s="197" t="s">
        <v>363</v>
      </c>
      <c r="E370" s="90">
        <f>SUM(E371:E372)</f>
        <v>34365.509999999995</v>
      </c>
      <c r="F370" s="222"/>
      <c r="G370" s="90">
        <f>SUM(G371:G372)</f>
        <v>19365.51</v>
      </c>
      <c r="H370" s="222"/>
      <c r="I370" s="268">
        <f t="shared" si="4"/>
        <v>56.35158622700492</v>
      </c>
    </row>
    <row r="371" spans="1:9" ht="45.75" customHeight="1">
      <c r="A371" s="185"/>
      <c r="B371" s="13"/>
      <c r="C371" s="144">
        <v>2320</v>
      </c>
      <c r="D371" s="194" t="s">
        <v>555</v>
      </c>
      <c r="E371" s="52">
        <v>19365.51</v>
      </c>
      <c r="F371" s="220"/>
      <c r="G371" s="52">
        <v>19365.51</v>
      </c>
      <c r="H371" s="220"/>
      <c r="I371" s="268">
        <f t="shared" si="4"/>
        <v>100</v>
      </c>
    </row>
    <row r="372" spans="1:9" ht="63.75" customHeight="1">
      <c r="A372" s="185"/>
      <c r="B372" s="13"/>
      <c r="C372" s="144" t="s">
        <v>414</v>
      </c>
      <c r="D372" s="194" t="s">
        <v>400</v>
      </c>
      <c r="E372" s="52">
        <v>15000</v>
      </c>
      <c r="F372" s="220"/>
      <c r="G372" s="52"/>
      <c r="H372" s="220"/>
      <c r="I372" s="268"/>
    </row>
    <row r="373" spans="1:10" s="53" customFormat="1" ht="30" customHeight="1">
      <c r="A373" s="181"/>
      <c r="B373" s="31">
        <v>85321</v>
      </c>
      <c r="C373" s="138"/>
      <c r="D373" s="174" t="s">
        <v>556</v>
      </c>
      <c r="E373" s="90">
        <f>SUM(E374:E376)</f>
        <v>747703.05</v>
      </c>
      <c r="F373" s="90">
        <f>SUM(F374:F376)</f>
        <v>447080</v>
      </c>
      <c r="G373" s="90">
        <f>SUM(G374:G376)</f>
        <v>500674.7</v>
      </c>
      <c r="H373" s="90">
        <f>SUM(H374:H376)</f>
        <v>196916</v>
      </c>
      <c r="I373" s="268">
        <f t="shared" si="4"/>
        <v>66.96170358005092</v>
      </c>
      <c r="J373" s="356"/>
    </row>
    <row r="374" spans="1:9" ht="51.75" customHeight="1">
      <c r="A374" s="185"/>
      <c r="B374" s="13"/>
      <c r="C374" s="143">
        <v>2110</v>
      </c>
      <c r="D374" s="163" t="s">
        <v>118</v>
      </c>
      <c r="E374" s="52">
        <f>72402+215902+158776</f>
        <v>447080</v>
      </c>
      <c r="F374" s="52">
        <f>72402+215902+158776</f>
        <v>447080</v>
      </c>
      <c r="G374" s="52">
        <v>196916</v>
      </c>
      <c r="H374" s="52">
        <v>196916</v>
      </c>
      <c r="I374" s="268">
        <f t="shared" si="4"/>
        <v>44.04491366198443</v>
      </c>
    </row>
    <row r="375" spans="1:9" ht="49.5" customHeight="1">
      <c r="A375" s="185"/>
      <c r="B375" s="7"/>
      <c r="C375" s="143">
        <v>2320</v>
      </c>
      <c r="D375" s="163" t="s">
        <v>555</v>
      </c>
      <c r="E375" s="52">
        <f>165099+132391</f>
        <v>297490</v>
      </c>
      <c r="F375" s="220"/>
      <c r="G375" s="52">
        <f>167828+134579</f>
        <v>302407</v>
      </c>
      <c r="H375" s="220"/>
      <c r="I375" s="268">
        <f t="shared" si="4"/>
        <v>101.6528286665098</v>
      </c>
    </row>
    <row r="376" spans="1:9" ht="42" customHeight="1">
      <c r="A376" s="185"/>
      <c r="B376" s="1"/>
      <c r="C376" s="143">
        <v>2360</v>
      </c>
      <c r="D376" s="163" t="s">
        <v>336</v>
      </c>
      <c r="E376" s="52">
        <v>3133.05</v>
      </c>
      <c r="F376" s="220"/>
      <c r="G376" s="52">
        <v>1351.7</v>
      </c>
      <c r="H376" s="220"/>
      <c r="I376" s="268">
        <f t="shared" si="4"/>
        <v>43.143262954628874</v>
      </c>
    </row>
    <row r="377" spans="1:9" s="53" customFormat="1" ht="27.75" customHeight="1">
      <c r="A377" s="181"/>
      <c r="B377" s="36">
        <v>85324</v>
      </c>
      <c r="C377" s="138"/>
      <c r="D377" s="193" t="s">
        <v>557</v>
      </c>
      <c r="E377" s="90">
        <f>E378</f>
        <v>89187</v>
      </c>
      <c r="F377" s="222"/>
      <c r="G377" s="90">
        <f>G378</f>
        <v>68925</v>
      </c>
      <c r="H377" s="222"/>
      <c r="I377" s="268">
        <f aca="true" t="shared" si="5" ref="I377:I413">G377/E377*100</f>
        <v>77.28144236267617</v>
      </c>
    </row>
    <row r="378" spans="1:9" ht="22.5" customHeight="1">
      <c r="A378" s="182"/>
      <c r="B378" s="21"/>
      <c r="C378" s="139" t="s">
        <v>318</v>
      </c>
      <c r="D378" s="163" t="s">
        <v>319</v>
      </c>
      <c r="E378" s="52">
        <v>89187</v>
      </c>
      <c r="F378" s="220"/>
      <c r="G378" s="52">
        <v>68925</v>
      </c>
      <c r="H378" s="220"/>
      <c r="I378" s="268">
        <f t="shared" si="5"/>
        <v>77.28144236267617</v>
      </c>
    </row>
    <row r="379" spans="1:9" ht="23.25" customHeight="1">
      <c r="A379" s="130">
        <v>854</v>
      </c>
      <c r="B379" s="6"/>
      <c r="C379" s="130"/>
      <c r="D379" s="170" t="s">
        <v>370</v>
      </c>
      <c r="E379" s="83">
        <f>E380+E383+E391+E393+E399+E401</f>
        <v>676761</v>
      </c>
      <c r="F379" s="72"/>
      <c r="G379" s="83">
        <f>G380+G383+G391+G393+G399+G401</f>
        <v>723346</v>
      </c>
      <c r="H379" s="72"/>
      <c r="I379" s="361">
        <f t="shared" si="5"/>
        <v>106.8835231344596</v>
      </c>
    </row>
    <row r="380" spans="1:9" s="53" customFormat="1" ht="23.25" customHeight="1">
      <c r="A380" s="184"/>
      <c r="B380" s="31">
        <v>85401</v>
      </c>
      <c r="C380" s="138"/>
      <c r="D380" s="193" t="s">
        <v>264</v>
      </c>
      <c r="E380" s="28">
        <f>SUM(E381:E382)</f>
        <v>40100</v>
      </c>
      <c r="F380" s="225"/>
      <c r="G380" s="28">
        <f>SUM(G381:G382)</f>
        <v>45000</v>
      </c>
      <c r="H380" s="225"/>
      <c r="I380" s="268">
        <f t="shared" si="5"/>
        <v>112.21945137157108</v>
      </c>
    </row>
    <row r="381" spans="1:9" ht="22.5" customHeight="1">
      <c r="A381" s="187"/>
      <c r="B381" s="18"/>
      <c r="C381" s="143" t="s">
        <v>470</v>
      </c>
      <c r="D381" s="163" t="s">
        <v>471</v>
      </c>
      <c r="E381" s="26">
        <v>40000</v>
      </c>
      <c r="F381" s="126"/>
      <c r="G381" s="26">
        <v>45000</v>
      </c>
      <c r="H381" s="126"/>
      <c r="I381" s="268">
        <f t="shared" si="5"/>
        <v>112.5</v>
      </c>
    </row>
    <row r="382" spans="1:9" ht="22.5" customHeight="1">
      <c r="A382" s="187"/>
      <c r="B382" s="5"/>
      <c r="C382" s="144" t="s">
        <v>334</v>
      </c>
      <c r="D382" s="163" t="s">
        <v>379</v>
      </c>
      <c r="E382" s="26">
        <v>100</v>
      </c>
      <c r="F382" s="126"/>
      <c r="G382" s="26">
        <v>0</v>
      </c>
      <c r="H382" s="126"/>
      <c r="I382" s="268"/>
    </row>
    <row r="383" spans="1:9" ht="26.25" customHeight="1">
      <c r="A383" s="187"/>
      <c r="B383" s="35">
        <v>85403</v>
      </c>
      <c r="C383" s="138"/>
      <c r="D383" s="193" t="s">
        <v>132</v>
      </c>
      <c r="E383" s="28">
        <f>SUM(E384:E390)</f>
        <v>64940</v>
      </c>
      <c r="F383" s="126"/>
      <c r="G383" s="28">
        <f>SUM(G384:G390)</f>
        <v>49680</v>
      </c>
      <c r="H383" s="126"/>
      <c r="I383" s="268">
        <f t="shared" si="5"/>
        <v>76.501385894672</v>
      </c>
    </row>
    <row r="384" spans="1:9" ht="21" customHeight="1">
      <c r="A384" s="187"/>
      <c r="B384" s="31"/>
      <c r="C384" s="143" t="s">
        <v>467</v>
      </c>
      <c r="D384" s="163" t="s">
        <v>468</v>
      </c>
      <c r="E384" s="26">
        <v>440</v>
      </c>
      <c r="F384" s="126"/>
      <c r="G384" s="26">
        <v>450</v>
      </c>
      <c r="H384" s="126"/>
      <c r="I384" s="268">
        <f t="shared" si="5"/>
        <v>102.27272727272727</v>
      </c>
    </row>
    <row r="385" spans="1:9" ht="65.25" customHeight="1">
      <c r="A385" s="187"/>
      <c r="B385" s="51"/>
      <c r="C385" s="143" t="s">
        <v>473</v>
      </c>
      <c r="D385" s="163" t="s">
        <v>399</v>
      </c>
      <c r="E385" s="26">
        <v>5000</v>
      </c>
      <c r="F385" s="126"/>
      <c r="G385" s="26">
        <v>7120</v>
      </c>
      <c r="H385" s="126"/>
      <c r="I385" s="268">
        <f t="shared" si="5"/>
        <v>142.4</v>
      </c>
    </row>
    <row r="386" spans="1:9" ht="21" customHeight="1">
      <c r="A386" s="187"/>
      <c r="B386" s="51"/>
      <c r="C386" s="143" t="s">
        <v>470</v>
      </c>
      <c r="D386" s="163" t="s">
        <v>471</v>
      </c>
      <c r="E386" s="26">
        <v>25000</v>
      </c>
      <c r="F386" s="126"/>
      <c r="G386" s="26">
        <v>31290</v>
      </c>
      <c r="H386" s="126"/>
      <c r="I386" s="268">
        <f t="shared" si="5"/>
        <v>125.16000000000001</v>
      </c>
    </row>
    <row r="387" spans="1:9" ht="21" customHeight="1">
      <c r="A387" s="187"/>
      <c r="B387" s="51"/>
      <c r="C387" s="139" t="s">
        <v>499</v>
      </c>
      <c r="D387" s="163" t="s">
        <v>224</v>
      </c>
      <c r="E387" s="26">
        <v>12400</v>
      </c>
      <c r="F387" s="126"/>
      <c r="G387" s="26">
        <v>0</v>
      </c>
      <c r="H387" s="126"/>
      <c r="I387" s="268"/>
    </row>
    <row r="388" spans="1:9" ht="21" customHeight="1">
      <c r="A388" s="187"/>
      <c r="B388" s="51"/>
      <c r="C388" s="139" t="s">
        <v>334</v>
      </c>
      <c r="D388" s="163" t="s">
        <v>379</v>
      </c>
      <c r="E388" s="26">
        <v>100</v>
      </c>
      <c r="F388" s="126"/>
      <c r="G388" s="26"/>
      <c r="H388" s="126"/>
      <c r="I388" s="268"/>
    </row>
    <row r="389" spans="1:9" ht="24.75" customHeight="1">
      <c r="A389" s="187"/>
      <c r="B389" s="51"/>
      <c r="C389" s="324" t="s">
        <v>113</v>
      </c>
      <c r="D389" s="169" t="s">
        <v>397</v>
      </c>
      <c r="E389" s="26">
        <v>12000</v>
      </c>
      <c r="F389" s="126"/>
      <c r="G389" s="26"/>
      <c r="H389" s="126"/>
      <c r="I389" s="268"/>
    </row>
    <row r="390" spans="1:9" ht="18.75" customHeight="1">
      <c r="A390" s="187"/>
      <c r="B390" s="5"/>
      <c r="C390" s="139" t="s">
        <v>318</v>
      </c>
      <c r="D390" s="163" t="s">
        <v>319</v>
      </c>
      <c r="E390" s="26">
        <v>10000</v>
      </c>
      <c r="F390" s="126"/>
      <c r="G390" s="26">
        <v>10820</v>
      </c>
      <c r="H390" s="126"/>
      <c r="I390" s="268">
        <f t="shared" si="5"/>
        <v>108.2</v>
      </c>
    </row>
    <row r="391" spans="1:9" ht="27" customHeight="1">
      <c r="A391" s="187"/>
      <c r="B391" s="334">
        <v>85406</v>
      </c>
      <c r="C391" s="334"/>
      <c r="D391" s="339" t="s">
        <v>265</v>
      </c>
      <c r="E391" s="28">
        <f>E392</f>
        <v>500</v>
      </c>
      <c r="F391" s="225"/>
      <c r="G391" s="28">
        <f>G392</f>
        <v>0</v>
      </c>
      <c r="H391" s="126"/>
      <c r="I391" s="268"/>
    </row>
    <row r="392" spans="1:9" ht="18.75" customHeight="1">
      <c r="A392" s="187"/>
      <c r="B392" s="357"/>
      <c r="C392" s="333" t="s">
        <v>318</v>
      </c>
      <c r="D392" s="325" t="s">
        <v>319</v>
      </c>
      <c r="E392" s="26">
        <v>500</v>
      </c>
      <c r="F392" s="126"/>
      <c r="G392" s="26"/>
      <c r="H392" s="126"/>
      <c r="I392" s="268"/>
    </row>
    <row r="393" spans="1:9" s="53" customFormat="1" ht="21.75" customHeight="1">
      <c r="A393" s="184"/>
      <c r="B393" s="35">
        <v>85410</v>
      </c>
      <c r="C393" s="138"/>
      <c r="D393" s="193" t="s">
        <v>463</v>
      </c>
      <c r="E393" s="28">
        <f>SUM(E394:E398)</f>
        <v>422300</v>
      </c>
      <c r="F393" s="225"/>
      <c r="G393" s="28">
        <f>SUM(G394:G398)</f>
        <v>507100</v>
      </c>
      <c r="H393" s="225"/>
      <c r="I393" s="268">
        <f t="shared" si="5"/>
        <v>120.08051148472649</v>
      </c>
    </row>
    <row r="394" spans="1:9" ht="18.75" customHeight="1">
      <c r="A394" s="185"/>
      <c r="B394" s="7"/>
      <c r="C394" s="144" t="s">
        <v>467</v>
      </c>
      <c r="D394" s="194" t="s">
        <v>468</v>
      </c>
      <c r="E394" s="26">
        <v>100000</v>
      </c>
      <c r="F394" s="126"/>
      <c r="G394" s="26">
        <v>125000</v>
      </c>
      <c r="H394" s="126"/>
      <c r="I394" s="268">
        <f t="shared" si="5"/>
        <v>125</v>
      </c>
    </row>
    <row r="395" spans="1:9" ht="61.5" customHeight="1">
      <c r="A395" s="185"/>
      <c r="B395" s="7"/>
      <c r="C395" s="143" t="s">
        <v>473</v>
      </c>
      <c r="D395" s="163" t="s">
        <v>399</v>
      </c>
      <c r="E395" s="26">
        <v>22000</v>
      </c>
      <c r="F395" s="126"/>
      <c r="G395" s="26">
        <v>22000</v>
      </c>
      <c r="H395" s="126"/>
      <c r="I395" s="268">
        <f t="shared" si="5"/>
        <v>100</v>
      </c>
    </row>
    <row r="396" spans="1:9" ht="18.75" customHeight="1">
      <c r="A396" s="185"/>
      <c r="B396" s="7"/>
      <c r="C396" s="143" t="s">
        <v>470</v>
      </c>
      <c r="D396" s="163" t="s">
        <v>471</v>
      </c>
      <c r="E396" s="26">
        <v>300000</v>
      </c>
      <c r="F396" s="126"/>
      <c r="G396" s="26">
        <v>360000</v>
      </c>
      <c r="H396" s="126"/>
      <c r="I396" s="268">
        <f t="shared" si="5"/>
        <v>120</v>
      </c>
    </row>
    <row r="397" spans="1:9" ht="18.75" customHeight="1">
      <c r="A397" s="185"/>
      <c r="B397" s="7"/>
      <c r="C397" s="143" t="s">
        <v>334</v>
      </c>
      <c r="D397" s="163" t="s">
        <v>379</v>
      </c>
      <c r="E397" s="26">
        <v>100</v>
      </c>
      <c r="F397" s="126"/>
      <c r="G397" s="26">
        <v>100</v>
      </c>
      <c r="H397" s="126"/>
      <c r="I397" s="268">
        <f t="shared" si="5"/>
        <v>100</v>
      </c>
    </row>
    <row r="398" spans="1:9" ht="18.75" customHeight="1">
      <c r="A398" s="185"/>
      <c r="B398" s="7"/>
      <c r="C398" s="143" t="s">
        <v>318</v>
      </c>
      <c r="D398" s="163" t="s">
        <v>319</v>
      </c>
      <c r="E398" s="26">
        <v>200</v>
      </c>
      <c r="F398" s="126"/>
      <c r="G398" s="26"/>
      <c r="H398" s="126"/>
      <c r="I398" s="268"/>
    </row>
    <row r="399" spans="1:9" ht="37.5" customHeight="1">
      <c r="A399" s="185"/>
      <c r="B399" s="24">
        <v>85412</v>
      </c>
      <c r="C399" s="138"/>
      <c r="D399" s="193" t="s">
        <v>338</v>
      </c>
      <c r="E399" s="28">
        <f>E400</f>
        <v>6000</v>
      </c>
      <c r="F399" s="126"/>
      <c r="G399" s="28">
        <f>G400</f>
        <v>6000</v>
      </c>
      <c r="H399" s="126"/>
      <c r="I399" s="268">
        <f t="shared" si="5"/>
        <v>100</v>
      </c>
    </row>
    <row r="400" spans="1:9" ht="17.25" customHeight="1">
      <c r="A400" s="185"/>
      <c r="B400" s="7"/>
      <c r="C400" s="143" t="s">
        <v>470</v>
      </c>
      <c r="D400" s="163" t="s">
        <v>471</v>
      </c>
      <c r="E400" s="26">
        <v>6000</v>
      </c>
      <c r="F400" s="126"/>
      <c r="G400" s="26">
        <v>6000</v>
      </c>
      <c r="H400" s="126"/>
      <c r="I400" s="268">
        <f t="shared" si="5"/>
        <v>100</v>
      </c>
    </row>
    <row r="401" spans="1:9" s="53" customFormat="1" ht="21" customHeight="1">
      <c r="A401" s="184"/>
      <c r="B401" s="24">
        <v>85417</v>
      </c>
      <c r="C401" s="132"/>
      <c r="D401" s="193" t="s">
        <v>464</v>
      </c>
      <c r="E401" s="28">
        <f>SUM(E402:E403)</f>
        <v>142921</v>
      </c>
      <c r="F401" s="225"/>
      <c r="G401" s="28">
        <f>SUM(G402:G403)</f>
        <v>115566</v>
      </c>
      <c r="H401" s="225"/>
      <c r="I401" s="268">
        <f t="shared" si="5"/>
        <v>80.86005555516684</v>
      </c>
    </row>
    <row r="402" spans="1:9" ht="20.25" customHeight="1">
      <c r="A402" s="185"/>
      <c r="B402" s="7"/>
      <c r="C402" s="143" t="s">
        <v>470</v>
      </c>
      <c r="D402" s="163" t="s">
        <v>471</v>
      </c>
      <c r="E402" s="26">
        <v>125411</v>
      </c>
      <c r="F402" s="126"/>
      <c r="G402" s="26">
        <v>97706</v>
      </c>
      <c r="H402" s="126"/>
      <c r="I402" s="268">
        <f t="shared" si="5"/>
        <v>77.90863640350527</v>
      </c>
    </row>
    <row r="403" spans="1:9" ht="19.5" customHeight="1">
      <c r="A403" s="185"/>
      <c r="B403" s="7"/>
      <c r="C403" s="139" t="s">
        <v>318</v>
      </c>
      <c r="D403" s="163" t="s">
        <v>319</v>
      </c>
      <c r="E403" s="26">
        <v>17510</v>
      </c>
      <c r="F403" s="126"/>
      <c r="G403" s="26">
        <v>17860</v>
      </c>
      <c r="H403" s="126"/>
      <c r="I403" s="268">
        <f t="shared" si="5"/>
        <v>101.9988577955454</v>
      </c>
    </row>
    <row r="404" spans="1:9" ht="24" customHeight="1">
      <c r="A404" s="130">
        <v>900</v>
      </c>
      <c r="B404" s="10"/>
      <c r="C404" s="130"/>
      <c r="D404" s="170" t="s">
        <v>351</v>
      </c>
      <c r="E404" s="83">
        <f>E405+E407</f>
        <v>2625352</v>
      </c>
      <c r="F404" s="126"/>
      <c r="G404" s="83">
        <f>G405+G407</f>
        <v>2000000</v>
      </c>
      <c r="H404" s="126"/>
      <c r="I404" s="361">
        <f t="shared" si="5"/>
        <v>76.18026078026871</v>
      </c>
    </row>
    <row r="405" spans="1:9" ht="36" customHeight="1">
      <c r="A405" s="181"/>
      <c r="B405" s="24">
        <v>90019</v>
      </c>
      <c r="C405" s="138"/>
      <c r="D405" s="193" t="s">
        <v>456</v>
      </c>
      <c r="E405" s="28">
        <f>SUM(E406:E406)</f>
        <v>2625132</v>
      </c>
      <c r="F405" s="126"/>
      <c r="G405" s="28">
        <f>SUM(G406:G406)</f>
        <v>2000000</v>
      </c>
      <c r="H405" s="126"/>
      <c r="I405" s="268">
        <f t="shared" si="5"/>
        <v>76.18664509060878</v>
      </c>
    </row>
    <row r="406" spans="1:9" ht="18.75" customHeight="1">
      <c r="A406" s="185"/>
      <c r="B406" s="1"/>
      <c r="C406" s="143" t="s">
        <v>467</v>
      </c>
      <c r="D406" s="163" t="s">
        <v>468</v>
      </c>
      <c r="E406" s="26">
        <v>2625132</v>
      </c>
      <c r="F406" s="126"/>
      <c r="G406" s="26">
        <v>2000000</v>
      </c>
      <c r="H406" s="126"/>
      <c r="I406" s="268">
        <f t="shared" si="5"/>
        <v>76.18664509060878</v>
      </c>
    </row>
    <row r="407" spans="1:9" ht="18.75" customHeight="1">
      <c r="A407" s="185"/>
      <c r="B407" s="24">
        <v>90095</v>
      </c>
      <c r="C407" s="138"/>
      <c r="D407" s="193" t="s">
        <v>343</v>
      </c>
      <c r="E407" s="28">
        <f>E408</f>
        <v>220</v>
      </c>
      <c r="F407" s="225"/>
      <c r="G407" s="28">
        <f>G408</f>
        <v>0</v>
      </c>
      <c r="H407" s="126"/>
      <c r="I407" s="268"/>
    </row>
    <row r="408" spans="1:9" ht="41.25" customHeight="1">
      <c r="A408" s="185"/>
      <c r="B408" s="1"/>
      <c r="C408" s="139">
        <v>2360</v>
      </c>
      <c r="D408" s="163" t="s">
        <v>336</v>
      </c>
      <c r="E408" s="26">
        <v>220</v>
      </c>
      <c r="F408" s="126"/>
      <c r="G408" s="26"/>
      <c r="H408" s="126"/>
      <c r="I408" s="268"/>
    </row>
    <row r="409" spans="1:9" ht="21.75" customHeight="1">
      <c r="A409" s="130">
        <v>921</v>
      </c>
      <c r="B409" s="5"/>
      <c r="C409" s="130"/>
      <c r="D409" s="170" t="s">
        <v>558</v>
      </c>
      <c r="E409" s="83">
        <f>E410</f>
        <v>100000</v>
      </c>
      <c r="F409" s="126"/>
      <c r="G409" s="83">
        <f>G410</f>
        <v>100000</v>
      </c>
      <c r="H409" s="126"/>
      <c r="I409" s="361">
        <f t="shared" si="5"/>
        <v>100</v>
      </c>
    </row>
    <row r="410" spans="1:9" s="53" customFormat="1" ht="20.25" customHeight="1">
      <c r="A410" s="181"/>
      <c r="B410" s="24">
        <v>92116</v>
      </c>
      <c r="C410" s="138"/>
      <c r="D410" s="193" t="s">
        <v>440</v>
      </c>
      <c r="E410" s="28">
        <f>E411</f>
        <v>100000</v>
      </c>
      <c r="F410" s="225"/>
      <c r="G410" s="28">
        <f>G411</f>
        <v>100000</v>
      </c>
      <c r="H410" s="225"/>
      <c r="I410" s="268">
        <f t="shared" si="5"/>
        <v>100</v>
      </c>
    </row>
    <row r="411" spans="1:9" ht="51.75" customHeight="1">
      <c r="A411" s="185"/>
      <c r="B411" s="1"/>
      <c r="C411" s="144">
        <v>2320</v>
      </c>
      <c r="D411" s="194" t="s">
        <v>555</v>
      </c>
      <c r="E411" s="26">
        <v>100000</v>
      </c>
      <c r="F411" s="87"/>
      <c r="G411" s="26">
        <v>100000</v>
      </c>
      <c r="H411" s="87"/>
      <c r="I411" s="268">
        <f t="shared" si="5"/>
        <v>100</v>
      </c>
    </row>
    <row r="412" spans="1:10" ht="24" customHeight="1">
      <c r="A412" s="236" t="s">
        <v>559</v>
      </c>
      <c r="B412" s="21"/>
      <c r="C412" s="148"/>
      <c r="D412" s="199"/>
      <c r="E412" s="64">
        <f>E253+E256+E261+E265+E275+E283+E289+E300+E305++E351+E369+E379+E404+E409</f>
        <v>113790019.69000001</v>
      </c>
      <c r="F412" s="64">
        <f>F253+F256+F261+F265+F275+F283+F289+F300+F305++F351+F369+F379+F404+F409</f>
        <v>12263746.21</v>
      </c>
      <c r="G412" s="64">
        <f>G253+G256+G261+G265+G275+G283+G289+G300+G305++G351+G369+G379+G404+G409</f>
        <v>117304451.71</v>
      </c>
      <c r="H412" s="64">
        <f>H253+H256+H261+H265+H275+H283+H289+H300+H305++H351+H369+H379+H404+H409</f>
        <v>11895695</v>
      </c>
      <c r="I412" s="361">
        <f t="shared" si="5"/>
        <v>103.08852395805397</v>
      </c>
      <c r="J412" s="50"/>
    </row>
    <row r="413" spans="1:10" ht="24.75" customHeight="1">
      <c r="A413" s="235" t="s">
        <v>560</v>
      </c>
      <c r="B413" s="10"/>
      <c r="C413" s="130"/>
      <c r="D413" s="173"/>
      <c r="E413" s="64">
        <f>E251+E412</f>
        <v>415857221.81</v>
      </c>
      <c r="F413" s="64">
        <f>F251+F412</f>
        <v>37974442.86</v>
      </c>
      <c r="G413" s="64">
        <f>G251+G412</f>
        <v>386126999.99999994</v>
      </c>
      <c r="H413" s="227">
        <f>H251+H412</f>
        <v>35959476</v>
      </c>
      <c r="I413" s="361">
        <f t="shared" si="5"/>
        <v>92.85085835936655</v>
      </c>
      <c r="J413" s="50"/>
    </row>
    <row r="414" spans="1:10" ht="24.75" customHeight="1">
      <c r="A414" s="416"/>
      <c r="B414" s="20"/>
      <c r="C414" s="417"/>
      <c r="D414" s="418"/>
      <c r="E414" s="419"/>
      <c r="F414" s="419"/>
      <c r="G414" s="419"/>
      <c r="H414" s="419"/>
      <c r="I414" s="306"/>
      <c r="J414" s="50"/>
    </row>
    <row r="415" spans="1:10" ht="24.75" customHeight="1">
      <c r="A415" s="416"/>
      <c r="B415" s="20"/>
      <c r="C415" s="417"/>
      <c r="D415" s="418"/>
      <c r="E415" s="419"/>
      <c r="F415" s="419"/>
      <c r="G415" s="419"/>
      <c r="H415" s="419"/>
      <c r="I415" s="306"/>
      <c r="J415" s="50"/>
    </row>
    <row r="416" spans="1:10" ht="24.75" customHeight="1">
      <c r="A416" s="416"/>
      <c r="B416" s="20"/>
      <c r="C416" s="417"/>
      <c r="D416" s="418"/>
      <c r="E416" s="419"/>
      <c r="F416" s="419"/>
      <c r="G416" s="419"/>
      <c r="H416" s="419"/>
      <c r="I416" s="306"/>
      <c r="J416" s="50"/>
    </row>
  </sheetData>
  <mergeCells count="6">
    <mergeCell ref="G10:H10"/>
    <mergeCell ref="A10:A12"/>
    <mergeCell ref="B10:B12"/>
    <mergeCell ref="C10:C12"/>
    <mergeCell ref="D10:D12"/>
    <mergeCell ref="E10:F1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64">
      <selection activeCell="H73" sqref="H73"/>
    </sheetView>
  </sheetViews>
  <sheetFormatPr defaultColWidth="9.140625" defaultRowHeight="12.75"/>
  <cols>
    <col min="1" max="1" width="4.57421875" style="40" customWidth="1"/>
    <col min="2" max="2" width="19.57421875" style="40" customWidth="1"/>
    <col min="3" max="3" width="37.8515625" style="165" customWidth="1"/>
    <col min="4" max="4" width="19.140625" style="48" customWidth="1"/>
    <col min="5" max="5" width="17.00390625" style="40" customWidth="1"/>
    <col min="6" max="6" width="7.421875" style="375" customWidth="1"/>
    <col min="7" max="16384" width="9.140625" style="40" customWidth="1"/>
  </cols>
  <sheetData>
    <row r="1" spans="3:4" ht="19.5" customHeight="1">
      <c r="C1" s="603"/>
      <c r="D1" s="603" t="s">
        <v>660</v>
      </c>
    </row>
    <row r="2" spans="3:4" ht="19.5" customHeight="1">
      <c r="C2" s="603"/>
      <c r="D2" s="245" t="s">
        <v>620</v>
      </c>
    </row>
    <row r="3" spans="3:4" ht="19.5" customHeight="1">
      <c r="C3" s="603"/>
      <c r="D3" s="245" t="s">
        <v>202</v>
      </c>
    </row>
    <row r="4" spans="3:4" ht="19.5" customHeight="1">
      <c r="C4" s="603"/>
      <c r="D4" s="245" t="s">
        <v>621</v>
      </c>
    </row>
    <row r="5" spans="3:4" ht="19.5" customHeight="1">
      <c r="C5" s="603"/>
      <c r="D5" s="603"/>
    </row>
    <row r="6" ht="14.25" customHeight="1">
      <c r="C6" s="245"/>
    </row>
    <row r="7" spans="1:6" s="456" customFormat="1" ht="19.5" customHeight="1">
      <c r="A7" s="113" t="s">
        <v>661</v>
      </c>
      <c r="B7" s="455"/>
      <c r="C7" s="84"/>
      <c r="D7" s="48"/>
      <c r="F7" s="689"/>
    </row>
    <row r="8" spans="1:6" s="456" customFormat="1" ht="19.5" customHeight="1">
      <c r="A8" s="113" t="s">
        <v>563</v>
      </c>
      <c r="B8" s="455"/>
      <c r="C8" s="84"/>
      <c r="D8" s="48"/>
      <c r="F8" s="689"/>
    </row>
    <row r="9" spans="1:3" ht="18.75" customHeight="1">
      <c r="A9" s="113" t="s">
        <v>662</v>
      </c>
      <c r="B9" s="37"/>
      <c r="C9" s="84"/>
    </row>
    <row r="10" spans="3:5" ht="11.25" customHeight="1">
      <c r="C10" s="457"/>
      <c r="D10" s="458"/>
      <c r="E10" s="458" t="s">
        <v>308</v>
      </c>
    </row>
    <row r="11" spans="1:6" ht="33" customHeight="1">
      <c r="A11" s="258" t="s">
        <v>309</v>
      </c>
      <c r="B11" s="258" t="s">
        <v>139</v>
      </c>
      <c r="C11" s="2" t="s">
        <v>564</v>
      </c>
      <c r="D11" s="459" t="s">
        <v>641</v>
      </c>
      <c r="E11" s="459" t="s">
        <v>148</v>
      </c>
      <c r="F11" s="267" t="s">
        <v>411</v>
      </c>
    </row>
    <row r="12" spans="1:6" s="37" customFormat="1" ht="22.5" customHeight="1">
      <c r="A12" s="460" t="s">
        <v>565</v>
      </c>
      <c r="B12" s="461"/>
      <c r="C12" s="462"/>
      <c r="D12" s="259">
        <f>D13+D20</f>
        <v>9533086.02</v>
      </c>
      <c r="E12" s="259">
        <f>E13+E20</f>
        <v>10075700</v>
      </c>
      <c r="F12" s="415">
        <f aca="true" t="shared" si="0" ref="F12:F20">E12*100/D12</f>
        <v>105.6919026940659</v>
      </c>
    </row>
    <row r="13" spans="1:6" s="37" customFormat="1" ht="24.75" customHeight="1">
      <c r="A13" s="3" t="s">
        <v>566</v>
      </c>
      <c r="B13" s="463"/>
      <c r="C13" s="464"/>
      <c r="D13" s="259">
        <f>D14</f>
        <v>2811348</v>
      </c>
      <c r="E13" s="259">
        <f>E14</f>
        <v>3280600</v>
      </c>
      <c r="F13" s="415">
        <f t="shared" si="0"/>
        <v>116.69135233347134</v>
      </c>
    </row>
    <row r="14" spans="1:6" s="37" customFormat="1" ht="30" customHeight="1">
      <c r="A14" s="58">
        <v>801</v>
      </c>
      <c r="B14" s="465" t="s">
        <v>348</v>
      </c>
      <c r="C14" s="466"/>
      <c r="D14" s="467">
        <f>SUM(D15:D19)</f>
        <v>2811348</v>
      </c>
      <c r="E14" s="467">
        <f>SUM(E15:E19)</f>
        <v>3280600</v>
      </c>
      <c r="F14" s="415">
        <f t="shared" si="0"/>
        <v>116.69135233347134</v>
      </c>
    </row>
    <row r="15" spans="1:6" s="37" customFormat="1" ht="30" customHeight="1">
      <c r="A15" s="412"/>
      <c r="B15" s="412"/>
      <c r="C15" s="690" t="s">
        <v>567</v>
      </c>
      <c r="D15" s="452">
        <f>178848</f>
        <v>178848</v>
      </c>
      <c r="E15" s="452">
        <v>749920</v>
      </c>
      <c r="F15" s="667">
        <f t="shared" si="0"/>
        <v>419.30577920916085</v>
      </c>
    </row>
    <row r="16" spans="1:6" s="37" customFormat="1" ht="29.25" customHeight="1">
      <c r="A16" s="453"/>
      <c r="B16" s="453"/>
      <c r="C16" s="690" t="s">
        <v>568</v>
      </c>
      <c r="D16" s="452">
        <v>1547500</v>
      </c>
      <c r="E16" s="452">
        <v>2016900</v>
      </c>
      <c r="F16" s="667">
        <f t="shared" si="0"/>
        <v>130.33279483037157</v>
      </c>
    </row>
    <row r="17" spans="1:6" s="37" customFormat="1" ht="33" customHeight="1">
      <c r="A17" s="453"/>
      <c r="B17" s="453"/>
      <c r="C17" s="690" t="s">
        <v>569</v>
      </c>
      <c r="D17" s="452">
        <f>548800</f>
        <v>548800</v>
      </c>
      <c r="E17" s="452">
        <v>477230</v>
      </c>
      <c r="F17" s="667">
        <f t="shared" si="0"/>
        <v>86.95881924198251</v>
      </c>
    </row>
    <row r="18" spans="1:6" s="37" customFormat="1" ht="33" customHeight="1">
      <c r="A18" s="453"/>
      <c r="B18" s="453"/>
      <c r="C18" s="690" t="s">
        <v>663</v>
      </c>
      <c r="D18" s="469">
        <v>536200</v>
      </c>
      <c r="E18" s="469">
        <v>21500</v>
      </c>
      <c r="F18" s="667">
        <f t="shared" si="0"/>
        <v>4.009697873927639</v>
      </c>
    </row>
    <row r="19" spans="1:6" s="37" customFormat="1" ht="33" customHeight="1">
      <c r="A19" s="468"/>
      <c r="B19" s="468"/>
      <c r="C19" s="690" t="s">
        <v>664</v>
      </c>
      <c r="D19" s="469"/>
      <c r="E19" s="469">
        <v>15050</v>
      </c>
      <c r="F19" s="667"/>
    </row>
    <row r="20" spans="1:6" s="37" customFormat="1" ht="24.75" customHeight="1">
      <c r="A20" s="477" t="s">
        <v>140</v>
      </c>
      <c r="B20" s="463"/>
      <c r="C20" s="464"/>
      <c r="D20" s="470">
        <f>D21+D24+D27+D38+D45+D54+D59+D66</f>
        <v>6721738.02</v>
      </c>
      <c r="E20" s="470">
        <f>E21+E24+E27+E38+E45+E54+E59+E66</f>
        <v>6795100</v>
      </c>
      <c r="F20" s="415">
        <f t="shared" si="0"/>
        <v>101.09141385429955</v>
      </c>
    </row>
    <row r="21" spans="1:9" s="37" customFormat="1" ht="45" customHeight="1">
      <c r="A21" s="58">
        <v>754</v>
      </c>
      <c r="B21" s="465" t="s">
        <v>345</v>
      </c>
      <c r="C21" s="451"/>
      <c r="D21" s="470">
        <f>D22+D23</f>
        <v>20000</v>
      </c>
      <c r="E21" s="470">
        <f>E22+E23</f>
        <v>400000</v>
      </c>
      <c r="F21" s="667"/>
      <c r="I21" s="414"/>
    </row>
    <row r="22" spans="1:6" s="37" customFormat="1" ht="35.25" customHeight="1">
      <c r="A22" s="691"/>
      <c r="B22" s="691"/>
      <c r="C22" s="451" t="s">
        <v>665</v>
      </c>
      <c r="D22" s="452">
        <v>20000</v>
      </c>
      <c r="E22" s="452">
        <v>0</v>
      </c>
      <c r="F22" s="667"/>
    </row>
    <row r="23" spans="1:6" s="37" customFormat="1" ht="35.25" customHeight="1">
      <c r="A23" s="692"/>
      <c r="B23" s="692"/>
      <c r="C23" s="451" t="s">
        <v>666</v>
      </c>
      <c r="D23" s="469"/>
      <c r="E23" s="469">
        <v>400000</v>
      </c>
      <c r="F23" s="667"/>
    </row>
    <row r="24" spans="1:6" s="37" customFormat="1" ht="35.25" customHeight="1">
      <c r="A24" s="66">
        <v>801</v>
      </c>
      <c r="B24" s="465" t="s">
        <v>667</v>
      </c>
      <c r="C24" s="451"/>
      <c r="D24" s="470">
        <f>D25+D26</f>
        <v>13444.75</v>
      </c>
      <c r="E24" s="470">
        <f>E25+E26</f>
        <v>0</v>
      </c>
      <c r="F24" s="667"/>
    </row>
    <row r="25" spans="1:6" s="37" customFormat="1" ht="44.25" customHeight="1">
      <c r="A25" s="691"/>
      <c r="B25" s="691"/>
      <c r="C25" s="451" t="s">
        <v>668</v>
      </c>
      <c r="D25" s="452">
        <v>8296.37</v>
      </c>
      <c r="E25" s="452">
        <v>0</v>
      </c>
      <c r="F25" s="667"/>
    </row>
    <row r="26" spans="1:6" s="37" customFormat="1" ht="38.25" customHeight="1">
      <c r="A26" s="692"/>
      <c r="B26" s="692"/>
      <c r="C26" s="451" t="s">
        <v>669</v>
      </c>
      <c r="D26" s="476">
        <v>5148.38</v>
      </c>
      <c r="E26" s="476">
        <v>0</v>
      </c>
      <c r="F26" s="667"/>
    </row>
    <row r="27" spans="1:6" s="37" customFormat="1" ht="27" customHeight="1">
      <c r="A27" s="67">
        <v>851</v>
      </c>
      <c r="B27" s="479" t="s">
        <v>306</v>
      </c>
      <c r="C27" s="480"/>
      <c r="D27" s="481">
        <f>SUM(D28:D37)</f>
        <v>976000</v>
      </c>
      <c r="E27" s="481">
        <f>SUM(E28:E37)</f>
        <v>1131000</v>
      </c>
      <c r="F27" s="415">
        <f aca="true" t="shared" si="1" ref="F27:F52">E27*100/D27</f>
        <v>115.8811475409836</v>
      </c>
    </row>
    <row r="28" spans="1:6" s="37" customFormat="1" ht="39" customHeight="1">
      <c r="A28" s="58"/>
      <c r="B28" s="482"/>
      <c r="C28" s="451" t="s">
        <v>670</v>
      </c>
      <c r="D28" s="452">
        <v>90000</v>
      </c>
      <c r="E28" s="452">
        <v>100000</v>
      </c>
      <c r="F28" s="667">
        <f t="shared" si="1"/>
        <v>111.11111111111111</v>
      </c>
    </row>
    <row r="29" spans="1:6" s="37" customFormat="1" ht="33.75" customHeight="1">
      <c r="A29" s="66"/>
      <c r="B29" s="483"/>
      <c r="C29" s="474" t="s">
        <v>671</v>
      </c>
      <c r="D29" s="452">
        <v>440000</v>
      </c>
      <c r="E29" s="452">
        <v>530000</v>
      </c>
      <c r="F29" s="667">
        <f t="shared" si="1"/>
        <v>120.45454545454545</v>
      </c>
    </row>
    <row r="30" spans="1:6" s="37" customFormat="1" ht="53.25" customHeight="1">
      <c r="A30" s="66"/>
      <c r="B30" s="484"/>
      <c r="C30" s="451" t="s">
        <v>672</v>
      </c>
      <c r="D30" s="452">
        <v>50000</v>
      </c>
      <c r="E30" s="452">
        <v>50000</v>
      </c>
      <c r="F30" s="667">
        <f t="shared" si="1"/>
        <v>100</v>
      </c>
    </row>
    <row r="31" spans="1:6" s="37" customFormat="1" ht="32.25" customHeight="1">
      <c r="A31" s="66"/>
      <c r="B31" s="484"/>
      <c r="C31" s="451" t="s">
        <v>673</v>
      </c>
      <c r="D31" s="452">
        <v>10000</v>
      </c>
      <c r="E31" s="452">
        <v>10000</v>
      </c>
      <c r="F31" s="667">
        <f t="shared" si="1"/>
        <v>100</v>
      </c>
    </row>
    <row r="32" spans="1:6" s="37" customFormat="1" ht="54.75" customHeight="1">
      <c r="A32" s="66"/>
      <c r="B32" s="484"/>
      <c r="C32" s="451" t="s">
        <v>674</v>
      </c>
      <c r="D32" s="452">
        <v>120000</v>
      </c>
      <c r="E32" s="452">
        <v>140000</v>
      </c>
      <c r="F32" s="667">
        <f t="shared" si="1"/>
        <v>116.66666666666667</v>
      </c>
    </row>
    <row r="33" spans="1:6" s="37" customFormat="1" ht="36" customHeight="1">
      <c r="A33" s="66"/>
      <c r="B33" s="484"/>
      <c r="C33" s="451" t="s">
        <v>675</v>
      </c>
      <c r="D33" s="452">
        <v>40000</v>
      </c>
      <c r="E33" s="452">
        <v>60000</v>
      </c>
      <c r="F33" s="667">
        <f t="shared" si="1"/>
        <v>150</v>
      </c>
    </row>
    <row r="34" spans="1:6" s="37" customFormat="1" ht="27.75" customHeight="1">
      <c r="A34" s="66"/>
      <c r="B34" s="484"/>
      <c r="C34" s="451" t="s">
        <v>676</v>
      </c>
      <c r="D34" s="452">
        <v>101000</v>
      </c>
      <c r="E34" s="452">
        <v>110000</v>
      </c>
      <c r="F34" s="667">
        <f t="shared" si="1"/>
        <v>108.91089108910892</v>
      </c>
    </row>
    <row r="35" spans="1:6" s="37" customFormat="1" ht="31.5" customHeight="1">
      <c r="A35" s="66"/>
      <c r="B35" s="484"/>
      <c r="C35" s="451" t="s">
        <v>677</v>
      </c>
      <c r="D35" s="452">
        <v>90000</v>
      </c>
      <c r="E35" s="452">
        <v>100000</v>
      </c>
      <c r="F35" s="667">
        <f t="shared" si="1"/>
        <v>111.11111111111111</v>
      </c>
    </row>
    <row r="36" spans="1:6" s="37" customFormat="1" ht="33.75" customHeight="1">
      <c r="A36" s="66"/>
      <c r="B36" s="484"/>
      <c r="C36" s="451" t="s">
        <v>678</v>
      </c>
      <c r="D36" s="452">
        <v>25000</v>
      </c>
      <c r="E36" s="452">
        <v>25000</v>
      </c>
      <c r="F36" s="667">
        <f t="shared" si="1"/>
        <v>100</v>
      </c>
    </row>
    <row r="37" spans="1:6" s="37" customFormat="1" ht="23.25" customHeight="1">
      <c r="A37" s="66"/>
      <c r="B37" s="484"/>
      <c r="C37" s="474" t="s">
        <v>679</v>
      </c>
      <c r="D37" s="485">
        <v>10000</v>
      </c>
      <c r="E37" s="452">
        <v>6000</v>
      </c>
      <c r="F37" s="667">
        <f t="shared" si="1"/>
        <v>60</v>
      </c>
    </row>
    <row r="38" spans="1:6" s="37" customFormat="1" ht="23.25" customHeight="1">
      <c r="A38" s="58">
        <v>852</v>
      </c>
      <c r="B38" s="486" t="s">
        <v>422</v>
      </c>
      <c r="C38" s="480"/>
      <c r="D38" s="487">
        <f>SUM(D39:D44)</f>
        <v>1599640</v>
      </c>
      <c r="E38" s="487">
        <f>SUM(E39:E44)</f>
        <v>1627900</v>
      </c>
      <c r="F38" s="415">
        <f t="shared" si="1"/>
        <v>101.76664749568653</v>
      </c>
    </row>
    <row r="39" spans="1:6" s="37" customFormat="1" ht="42.75" customHeight="1">
      <c r="A39" s="58"/>
      <c r="B39" s="58"/>
      <c r="C39" s="492" t="s">
        <v>680</v>
      </c>
      <c r="D39" s="452">
        <v>122640</v>
      </c>
      <c r="E39" s="452">
        <v>237600</v>
      </c>
      <c r="F39" s="667">
        <f>E39*100/D39</f>
        <v>193.73776908023484</v>
      </c>
    </row>
    <row r="40" spans="1:6" s="37" customFormat="1" ht="37.5" customHeight="1">
      <c r="A40" s="66"/>
      <c r="B40" s="66"/>
      <c r="C40" s="451" t="s">
        <v>681</v>
      </c>
      <c r="D40" s="452">
        <v>1142000</v>
      </c>
      <c r="E40" s="452">
        <v>925300</v>
      </c>
      <c r="F40" s="667">
        <f t="shared" si="1"/>
        <v>81.02451838879159</v>
      </c>
    </row>
    <row r="41" spans="1:6" s="37" customFormat="1" ht="42" customHeight="1">
      <c r="A41" s="66"/>
      <c r="B41" s="66"/>
      <c r="C41" s="492" t="s">
        <v>682</v>
      </c>
      <c r="D41" s="452">
        <v>210000</v>
      </c>
      <c r="E41" s="452">
        <v>330000</v>
      </c>
      <c r="F41" s="667">
        <f t="shared" si="1"/>
        <v>157.14285714285714</v>
      </c>
    </row>
    <row r="42" spans="1:6" s="37" customFormat="1" ht="27" customHeight="1">
      <c r="A42" s="66"/>
      <c r="B42" s="66"/>
      <c r="C42" s="492" t="s">
        <v>683</v>
      </c>
      <c r="D42" s="452"/>
      <c r="E42" s="452">
        <v>50000</v>
      </c>
      <c r="F42" s="667"/>
    </row>
    <row r="43" spans="1:6" s="37" customFormat="1" ht="38.25" customHeight="1">
      <c r="A43" s="66"/>
      <c r="B43" s="66"/>
      <c r="C43" s="492" t="s">
        <v>684</v>
      </c>
      <c r="D43" s="452">
        <v>85000</v>
      </c>
      <c r="E43" s="452">
        <v>85000</v>
      </c>
      <c r="F43" s="667">
        <f t="shared" si="1"/>
        <v>100</v>
      </c>
    </row>
    <row r="44" spans="1:6" s="37" customFormat="1" ht="38.25" customHeight="1">
      <c r="A44" s="67"/>
      <c r="B44" s="67"/>
      <c r="C44" s="492" t="s">
        <v>685</v>
      </c>
      <c r="D44" s="452">
        <v>40000</v>
      </c>
      <c r="E44" s="452">
        <v>0</v>
      </c>
      <c r="F44" s="667">
        <f t="shared" si="1"/>
        <v>0</v>
      </c>
    </row>
    <row r="45" spans="1:6" s="37" customFormat="1" ht="39" customHeight="1">
      <c r="A45" s="67">
        <v>853</v>
      </c>
      <c r="B45" s="493" t="s">
        <v>439</v>
      </c>
      <c r="C45" s="494"/>
      <c r="D45" s="467">
        <f>SUM(D46:D53)</f>
        <v>431653.27</v>
      </c>
      <c r="E45" s="467">
        <f>SUM(E46:E53)</f>
        <v>133200</v>
      </c>
      <c r="F45" s="415">
        <f t="shared" si="1"/>
        <v>30.858100530548512</v>
      </c>
    </row>
    <row r="46" spans="1:6" s="37" customFormat="1" ht="27" customHeight="1">
      <c r="A46" s="69"/>
      <c r="B46" s="491"/>
      <c r="C46" s="494" t="s">
        <v>686</v>
      </c>
      <c r="D46" s="452">
        <v>76000</v>
      </c>
      <c r="E46" s="452">
        <v>28800</v>
      </c>
      <c r="F46" s="667">
        <f t="shared" si="1"/>
        <v>37.89473684210526</v>
      </c>
    </row>
    <row r="47" spans="1:6" s="37" customFormat="1" ht="27.75" customHeight="1">
      <c r="A47" s="69"/>
      <c r="B47" s="491"/>
      <c r="C47" s="495" t="s">
        <v>687</v>
      </c>
      <c r="D47" s="452">
        <v>72000</v>
      </c>
      <c r="E47" s="452">
        <v>36000</v>
      </c>
      <c r="F47" s="667">
        <f t="shared" si="1"/>
        <v>50</v>
      </c>
    </row>
    <row r="48" spans="1:6" s="37" customFormat="1" ht="26.25" customHeight="1">
      <c r="A48" s="69"/>
      <c r="B48" s="491"/>
      <c r="C48" s="495" t="s">
        <v>688</v>
      </c>
      <c r="D48" s="452">
        <v>19800</v>
      </c>
      <c r="E48" s="452">
        <v>14400</v>
      </c>
      <c r="F48" s="667">
        <f t="shared" si="1"/>
        <v>72.72727272727273</v>
      </c>
    </row>
    <row r="49" spans="1:6" s="37" customFormat="1" ht="39" customHeight="1">
      <c r="A49" s="69"/>
      <c r="B49" s="491"/>
      <c r="C49" s="495" t="s">
        <v>689</v>
      </c>
      <c r="D49" s="452">
        <v>24000</v>
      </c>
      <c r="E49" s="452">
        <v>24000</v>
      </c>
      <c r="F49" s="667">
        <f t="shared" si="1"/>
        <v>100</v>
      </c>
    </row>
    <row r="50" spans="1:6" s="37" customFormat="1" ht="25.5" customHeight="1">
      <c r="A50" s="69"/>
      <c r="B50" s="491"/>
      <c r="C50" s="492" t="s">
        <v>690</v>
      </c>
      <c r="D50" s="452">
        <v>18500</v>
      </c>
      <c r="E50" s="452">
        <v>0</v>
      </c>
      <c r="F50" s="667">
        <f t="shared" si="1"/>
        <v>0</v>
      </c>
    </row>
    <row r="51" spans="1:6" s="37" customFormat="1" ht="38.25" customHeight="1">
      <c r="A51" s="69"/>
      <c r="B51" s="491"/>
      <c r="C51" s="492" t="s">
        <v>691</v>
      </c>
      <c r="D51" s="452">
        <v>30000</v>
      </c>
      <c r="E51" s="452">
        <v>30000</v>
      </c>
      <c r="F51" s="667">
        <f t="shared" si="1"/>
        <v>100</v>
      </c>
    </row>
    <row r="52" spans="1:6" s="37" customFormat="1" ht="54.75" customHeight="1">
      <c r="A52" s="69"/>
      <c r="B52" s="473"/>
      <c r="C52" s="492" t="s">
        <v>692</v>
      </c>
      <c r="D52" s="452">
        <f>29333.5+5176.5+27066.77+4776.5</f>
        <v>66353.27</v>
      </c>
      <c r="E52" s="452">
        <v>0</v>
      </c>
      <c r="F52" s="667">
        <f t="shared" si="1"/>
        <v>0</v>
      </c>
    </row>
    <row r="53" spans="1:6" s="37" customFormat="1" ht="40.5" customHeight="1">
      <c r="A53" s="69"/>
      <c r="B53" s="473"/>
      <c r="C53" s="492" t="s">
        <v>693</v>
      </c>
      <c r="D53" s="452">
        <f>125000</f>
        <v>125000</v>
      </c>
      <c r="E53" s="452">
        <v>0</v>
      </c>
      <c r="F53" s="667"/>
    </row>
    <row r="54" spans="1:6" s="37" customFormat="1" ht="38.25" customHeight="1">
      <c r="A54" s="58">
        <v>900</v>
      </c>
      <c r="B54" s="663" t="s">
        <v>570</v>
      </c>
      <c r="C54" s="496"/>
      <c r="D54" s="259">
        <f>SUM(D55:D58)</f>
        <v>982000</v>
      </c>
      <c r="E54" s="259">
        <f>SUM(E55:E58)</f>
        <v>867000</v>
      </c>
      <c r="F54" s="415">
        <f>E54*100/D54</f>
        <v>88.28920570264766</v>
      </c>
    </row>
    <row r="55" spans="1:6" s="37" customFormat="1" ht="38.25" customHeight="1">
      <c r="A55" s="58"/>
      <c r="B55" s="58"/>
      <c r="C55" s="501" t="s">
        <v>694</v>
      </c>
      <c r="D55" s="502">
        <v>30000</v>
      </c>
      <c r="E55" s="452">
        <v>30000</v>
      </c>
      <c r="F55" s="667">
        <f>E55*100/D55</f>
        <v>100</v>
      </c>
    </row>
    <row r="56" spans="1:6" s="37" customFormat="1" ht="61.5" customHeight="1">
      <c r="A56" s="61"/>
      <c r="B56" s="61"/>
      <c r="C56" s="499" t="s">
        <v>695</v>
      </c>
      <c r="D56" s="452">
        <v>282000</v>
      </c>
      <c r="E56" s="452">
        <v>287000</v>
      </c>
      <c r="F56" s="667">
        <f>E56*100/D56</f>
        <v>101.77304964539007</v>
      </c>
    </row>
    <row r="57" spans="1:6" s="37" customFormat="1" ht="40.5" customHeight="1">
      <c r="A57" s="61"/>
      <c r="B57" s="61"/>
      <c r="C57" s="501" t="s">
        <v>696</v>
      </c>
      <c r="D57" s="452">
        <v>670000</v>
      </c>
      <c r="E57" s="452">
        <f>500000</f>
        <v>500000</v>
      </c>
      <c r="F57" s="667">
        <f aca="true" t="shared" si="2" ref="F57:F81">E57*100/D57</f>
        <v>74.6268656716418</v>
      </c>
    </row>
    <row r="58" spans="1:6" s="37" customFormat="1" ht="61.5" customHeight="1">
      <c r="A58" s="68"/>
      <c r="B58" s="68"/>
      <c r="C58" s="501" t="s">
        <v>697</v>
      </c>
      <c r="D58" s="452"/>
      <c r="E58" s="452">
        <v>50000</v>
      </c>
      <c r="F58" s="667"/>
    </row>
    <row r="59" spans="1:6" s="37" customFormat="1" ht="39" customHeight="1">
      <c r="A59" s="66">
        <v>921</v>
      </c>
      <c r="B59" s="505" t="s">
        <v>571</v>
      </c>
      <c r="C59" s="493"/>
      <c r="D59" s="259">
        <f>SUM(D60:D65)</f>
        <v>154000</v>
      </c>
      <c r="E59" s="259">
        <f>SUM(E60:E65)</f>
        <v>156000</v>
      </c>
      <c r="F59" s="415">
        <f t="shared" si="2"/>
        <v>101.2987012987013</v>
      </c>
    </row>
    <row r="60" spans="1:6" s="37" customFormat="1" ht="42.75" customHeight="1">
      <c r="A60" s="497"/>
      <c r="B60" s="498"/>
      <c r="C60" s="475" t="s">
        <v>698</v>
      </c>
      <c r="D60" s="452">
        <v>50000</v>
      </c>
      <c r="E60" s="452">
        <v>30000</v>
      </c>
      <c r="F60" s="667">
        <f t="shared" si="2"/>
        <v>60</v>
      </c>
    </row>
    <row r="61" spans="1:6" s="37" customFormat="1" ht="42" customHeight="1">
      <c r="A61" s="70"/>
      <c r="B61" s="500"/>
      <c r="C61" s="475" t="s">
        <v>0</v>
      </c>
      <c r="D61" s="452">
        <v>10000</v>
      </c>
      <c r="E61" s="452">
        <v>0</v>
      </c>
      <c r="F61" s="667">
        <f t="shared" si="2"/>
        <v>0</v>
      </c>
    </row>
    <row r="62" spans="1:6" s="37" customFormat="1" ht="42" customHeight="1">
      <c r="A62" s="70"/>
      <c r="B62" s="500"/>
      <c r="C62" s="451" t="s">
        <v>1</v>
      </c>
      <c r="D62" s="452">
        <v>9000</v>
      </c>
      <c r="E62" s="452"/>
      <c r="F62" s="667"/>
    </row>
    <row r="63" spans="1:6" s="37" customFormat="1" ht="42" customHeight="1">
      <c r="A63" s="70"/>
      <c r="B63" s="500"/>
      <c r="C63" s="451" t="s">
        <v>2</v>
      </c>
      <c r="D63" s="452">
        <v>0</v>
      </c>
      <c r="E63" s="452">
        <v>40000</v>
      </c>
      <c r="F63" s="667"/>
    </row>
    <row r="64" spans="1:6" s="37" customFormat="1" ht="31.5" customHeight="1">
      <c r="A64" s="70"/>
      <c r="B64" s="500"/>
      <c r="C64" s="506" t="s">
        <v>3</v>
      </c>
      <c r="D64" s="452">
        <v>35000</v>
      </c>
      <c r="E64" s="452">
        <v>35000</v>
      </c>
      <c r="F64" s="667">
        <f t="shared" si="2"/>
        <v>100</v>
      </c>
    </row>
    <row r="65" spans="1:6" s="37" customFormat="1" ht="41.25" customHeight="1">
      <c r="A65" s="503"/>
      <c r="B65" s="504"/>
      <c r="C65" s="506" t="s">
        <v>4</v>
      </c>
      <c r="D65" s="452">
        <v>50000</v>
      </c>
      <c r="E65" s="452">
        <v>51000</v>
      </c>
      <c r="F65" s="667">
        <f t="shared" si="2"/>
        <v>102</v>
      </c>
    </row>
    <row r="66" spans="1:6" s="37" customFormat="1" ht="34.5" customHeight="1">
      <c r="A66" s="67">
        <v>926</v>
      </c>
      <c r="B66" s="507" t="s">
        <v>572</v>
      </c>
      <c r="C66" s="496"/>
      <c r="D66" s="259">
        <f>SUM(D67:D69)</f>
        <v>2545000</v>
      </c>
      <c r="E66" s="259">
        <f>SUM(E67:E69)</f>
        <v>2480000</v>
      </c>
      <c r="F66" s="415">
        <f t="shared" si="2"/>
        <v>97.44597249508841</v>
      </c>
    </row>
    <row r="67" spans="1:6" s="509" customFormat="1" ht="31.5" customHeight="1">
      <c r="A67" s="510"/>
      <c r="B67" s="510"/>
      <c r="C67" s="511" t="s">
        <v>5</v>
      </c>
      <c r="D67" s="452">
        <v>115000</v>
      </c>
      <c r="E67" s="452">
        <v>115000</v>
      </c>
      <c r="F67" s="667">
        <f t="shared" si="2"/>
        <v>100</v>
      </c>
    </row>
    <row r="68" spans="1:6" s="37" customFormat="1" ht="31.5" customHeight="1">
      <c r="A68" s="510"/>
      <c r="B68" s="510"/>
      <c r="C68" s="512" t="s">
        <v>6</v>
      </c>
      <c r="D68" s="452">
        <v>15000</v>
      </c>
      <c r="E68" s="452">
        <v>15000</v>
      </c>
      <c r="F68" s="667">
        <f t="shared" si="2"/>
        <v>100</v>
      </c>
    </row>
    <row r="69" spans="1:6" s="37" customFormat="1" ht="31.5" customHeight="1">
      <c r="A69" s="478"/>
      <c r="B69" s="478"/>
      <c r="C69" s="508" t="s">
        <v>7</v>
      </c>
      <c r="D69" s="452">
        <v>2415000</v>
      </c>
      <c r="E69" s="452">
        <v>2350000</v>
      </c>
      <c r="F69" s="667">
        <f t="shared" si="2"/>
        <v>97.30848861283644</v>
      </c>
    </row>
    <row r="70" spans="1:6" s="37" customFormat="1" ht="30" customHeight="1">
      <c r="A70" s="49" t="s">
        <v>573</v>
      </c>
      <c r="B70" s="513"/>
      <c r="C70" s="514"/>
      <c r="D70" s="487">
        <f>D71+D83</f>
        <v>6631590.140000001</v>
      </c>
      <c r="E70" s="487">
        <f>E71+E83</f>
        <v>6744694</v>
      </c>
      <c r="F70" s="415">
        <f t="shared" si="2"/>
        <v>101.7055315182672</v>
      </c>
    </row>
    <row r="71" spans="1:6" s="37" customFormat="1" ht="27" customHeight="1">
      <c r="A71" s="515" t="s">
        <v>566</v>
      </c>
      <c r="B71" s="516"/>
      <c r="C71" s="517"/>
      <c r="D71" s="518">
        <f>D72+D79+D81</f>
        <v>6257697.36</v>
      </c>
      <c r="E71" s="518">
        <f>E72+E79+E81</f>
        <v>6410748</v>
      </c>
      <c r="F71" s="415">
        <f t="shared" si="2"/>
        <v>102.44579804990761</v>
      </c>
    </row>
    <row r="72" spans="1:6" s="37" customFormat="1" ht="23.25" customHeight="1">
      <c r="A72" s="57">
        <v>801</v>
      </c>
      <c r="B72" s="465" t="s">
        <v>348</v>
      </c>
      <c r="C72" s="451"/>
      <c r="D72" s="467">
        <f>SUM(D73:D78)</f>
        <v>4446949.36</v>
      </c>
      <c r="E72" s="467">
        <f>SUM(E73:E78)</f>
        <v>4790000</v>
      </c>
      <c r="F72" s="415">
        <f t="shared" si="2"/>
        <v>107.71429157898032</v>
      </c>
    </row>
    <row r="73" spans="1:6" s="37" customFormat="1" ht="30.75" customHeight="1">
      <c r="A73" s="69"/>
      <c r="B73" s="693"/>
      <c r="C73" s="451" t="s">
        <v>46</v>
      </c>
      <c r="D73" s="452"/>
      <c r="E73" s="452">
        <v>10000</v>
      </c>
      <c r="F73" s="415"/>
    </row>
    <row r="74" spans="1:6" s="37" customFormat="1" ht="30" customHeight="1">
      <c r="A74" s="519"/>
      <c r="B74" s="82"/>
      <c r="C74" s="451" t="s">
        <v>574</v>
      </c>
      <c r="D74" s="452">
        <v>1333800</v>
      </c>
      <c r="E74" s="452">
        <v>1485000</v>
      </c>
      <c r="F74" s="667">
        <f t="shared" si="2"/>
        <v>111.33603238866397</v>
      </c>
    </row>
    <row r="75" spans="1:6" s="37" customFormat="1" ht="30" customHeight="1">
      <c r="A75" s="519"/>
      <c r="B75" s="424"/>
      <c r="C75" s="451" t="s">
        <v>575</v>
      </c>
      <c r="D75" s="452">
        <f>350000-20942</f>
        <v>329058</v>
      </c>
      <c r="E75" s="452">
        <v>300000</v>
      </c>
      <c r="F75" s="667">
        <f t="shared" si="2"/>
        <v>91.16933792826796</v>
      </c>
    </row>
    <row r="76" spans="1:6" s="37" customFormat="1" ht="31.5" customHeight="1">
      <c r="A76" s="519"/>
      <c r="B76" s="82"/>
      <c r="C76" s="451" t="s">
        <v>576</v>
      </c>
      <c r="D76" s="485">
        <v>2770130</v>
      </c>
      <c r="E76" s="485">
        <v>2695000</v>
      </c>
      <c r="F76" s="694">
        <f t="shared" si="2"/>
        <v>97.28785291665012</v>
      </c>
    </row>
    <row r="77" spans="1:6" s="37" customFormat="1" ht="31.5" customHeight="1">
      <c r="A77" s="519"/>
      <c r="B77" s="424"/>
      <c r="C77" s="451" t="s">
        <v>663</v>
      </c>
      <c r="D77" s="695">
        <v>0</v>
      </c>
      <c r="E77" s="695">
        <v>300000</v>
      </c>
      <c r="F77" s="696"/>
    </row>
    <row r="78" spans="1:6" s="37" customFormat="1" ht="31.5" customHeight="1">
      <c r="A78" s="519"/>
      <c r="B78" s="424"/>
      <c r="C78" s="697" t="s">
        <v>577</v>
      </c>
      <c r="D78" s="698">
        <v>13961.36</v>
      </c>
      <c r="E78" s="698">
        <v>0</v>
      </c>
      <c r="F78" s="699">
        <f t="shared" si="2"/>
        <v>0</v>
      </c>
    </row>
    <row r="79" spans="1:6" s="37" customFormat="1" ht="39" customHeight="1">
      <c r="A79" s="58">
        <v>853</v>
      </c>
      <c r="B79" s="520" t="s">
        <v>439</v>
      </c>
      <c r="C79" s="521"/>
      <c r="D79" s="259">
        <f>SUM(D80:D80)</f>
        <v>310748</v>
      </c>
      <c r="E79" s="259">
        <f>SUM(E80:E80)</f>
        <v>310748</v>
      </c>
      <c r="F79" s="415">
        <f t="shared" si="2"/>
        <v>100</v>
      </c>
    </row>
    <row r="80" spans="1:6" s="522" customFormat="1" ht="37.5" customHeight="1">
      <c r="A80" s="58"/>
      <c r="B80" s="58"/>
      <c r="C80" s="506" t="s">
        <v>8</v>
      </c>
      <c r="D80" s="452">
        <v>310748</v>
      </c>
      <c r="E80" s="452">
        <v>310748</v>
      </c>
      <c r="F80" s="667">
        <f t="shared" si="2"/>
        <v>100</v>
      </c>
    </row>
    <row r="81" spans="1:6" s="37" customFormat="1" ht="31.5" customHeight="1">
      <c r="A81" s="57">
        <v>854</v>
      </c>
      <c r="B81" s="465" t="s">
        <v>370</v>
      </c>
      <c r="C81" s="451"/>
      <c r="D81" s="523">
        <f>D82</f>
        <v>1500000</v>
      </c>
      <c r="E81" s="523">
        <f>E82</f>
        <v>1310000</v>
      </c>
      <c r="F81" s="415">
        <f t="shared" si="2"/>
        <v>87.33333333333333</v>
      </c>
    </row>
    <row r="82" spans="1:6" s="37" customFormat="1" ht="35.25" customHeight="1">
      <c r="A82" s="524"/>
      <c r="B82" s="525"/>
      <c r="C82" s="451" t="s">
        <v>9</v>
      </c>
      <c r="D82" s="452">
        <v>1500000</v>
      </c>
      <c r="E82" s="452">
        <v>1310000</v>
      </c>
      <c r="F82" s="667"/>
    </row>
    <row r="83" spans="1:6" s="37" customFormat="1" ht="29.25" customHeight="1">
      <c r="A83" s="3" t="s">
        <v>140</v>
      </c>
      <c r="B83" s="526"/>
      <c r="C83" s="114"/>
      <c r="D83" s="527">
        <f>D84+D87+D89+D92</f>
        <v>373892.78</v>
      </c>
      <c r="E83" s="527">
        <f>E84+E87+E89+E92</f>
        <v>333946</v>
      </c>
      <c r="F83" s="415">
        <f aca="true" t="shared" si="3" ref="F83:F92">E83*100/D83</f>
        <v>89.31597983785618</v>
      </c>
    </row>
    <row r="84" spans="1:6" s="37" customFormat="1" ht="34.5" customHeight="1">
      <c r="A84" s="66">
        <v>630</v>
      </c>
      <c r="B84" s="528" t="s">
        <v>578</v>
      </c>
      <c r="C84" s="261" t="s">
        <v>307</v>
      </c>
      <c r="D84" s="259">
        <f>SUM(D85:D86)</f>
        <v>91000</v>
      </c>
      <c r="E84" s="259">
        <f>SUM(E85:E86)</f>
        <v>74000</v>
      </c>
      <c r="F84" s="415">
        <f t="shared" si="3"/>
        <v>81.31868131868131</v>
      </c>
    </row>
    <row r="85" spans="1:6" s="37" customFormat="1" ht="33.75" customHeight="1">
      <c r="A85" s="488"/>
      <c r="B85" s="240"/>
      <c r="C85" s="529" t="s">
        <v>10</v>
      </c>
      <c r="D85" s="452">
        <v>60000</v>
      </c>
      <c r="E85" s="452">
        <v>42000</v>
      </c>
      <c r="F85" s="667">
        <f t="shared" si="3"/>
        <v>70</v>
      </c>
    </row>
    <row r="86" spans="1:6" s="37" customFormat="1" ht="30" customHeight="1">
      <c r="A86" s="70"/>
      <c r="B86" s="44"/>
      <c r="C86" s="506" t="s">
        <v>11</v>
      </c>
      <c r="D86" s="452">
        <f>40000-9000</f>
        <v>31000</v>
      </c>
      <c r="E86" s="452">
        <v>32000</v>
      </c>
      <c r="F86" s="667">
        <f t="shared" si="3"/>
        <v>103.2258064516129</v>
      </c>
    </row>
    <row r="87" spans="1:6" s="37" customFormat="1" ht="30" customHeight="1">
      <c r="A87" s="57">
        <v>755</v>
      </c>
      <c r="B87" s="42" t="s">
        <v>151</v>
      </c>
      <c r="C87" s="261" t="s">
        <v>307</v>
      </c>
      <c r="D87" s="259">
        <f>D88</f>
        <v>0</v>
      </c>
      <c r="E87" s="259">
        <f>E88</f>
        <v>59946</v>
      </c>
      <c r="F87" s="415"/>
    </row>
    <row r="88" spans="1:6" s="37" customFormat="1" ht="30" customHeight="1">
      <c r="A88" s="488"/>
      <c r="B88" s="240"/>
      <c r="C88" s="529" t="s">
        <v>12</v>
      </c>
      <c r="D88" s="452">
        <v>0</v>
      </c>
      <c r="E88" s="452">
        <v>59946</v>
      </c>
      <c r="F88" s="667"/>
    </row>
    <row r="89" spans="1:6" s="37" customFormat="1" ht="26.25" customHeight="1">
      <c r="A89" s="57">
        <v>852</v>
      </c>
      <c r="B89" s="42" t="s">
        <v>422</v>
      </c>
      <c r="C89" s="521"/>
      <c r="D89" s="259">
        <f>SUM(D90:D91)</f>
        <v>207000</v>
      </c>
      <c r="E89" s="259">
        <f>SUM(E90:E91)</f>
        <v>200000</v>
      </c>
      <c r="F89" s="415">
        <f t="shared" si="3"/>
        <v>96.61835748792271</v>
      </c>
    </row>
    <row r="90" spans="1:6" s="37" customFormat="1" ht="40.5" customHeight="1">
      <c r="A90" s="510"/>
      <c r="B90" s="510"/>
      <c r="C90" s="521" t="s">
        <v>13</v>
      </c>
      <c r="D90" s="452">
        <v>200000</v>
      </c>
      <c r="E90" s="452">
        <v>200000</v>
      </c>
      <c r="F90" s="667">
        <f t="shared" si="3"/>
        <v>100</v>
      </c>
    </row>
    <row r="91" spans="1:6" s="37" customFormat="1" ht="40.5" customHeight="1">
      <c r="A91" s="510"/>
      <c r="B91" s="510"/>
      <c r="C91" s="521" t="s">
        <v>14</v>
      </c>
      <c r="D91" s="485">
        <v>7000</v>
      </c>
      <c r="E91" s="452">
        <v>0</v>
      </c>
      <c r="F91" s="667">
        <f t="shared" si="3"/>
        <v>0</v>
      </c>
    </row>
    <row r="92" spans="1:6" s="37" customFormat="1" ht="38.25" customHeight="1">
      <c r="A92" s="58">
        <v>853</v>
      </c>
      <c r="B92" s="520" t="s">
        <v>439</v>
      </c>
      <c r="C92" s="521"/>
      <c r="D92" s="530">
        <f>SUM(D93)</f>
        <v>75892.78</v>
      </c>
      <c r="E92" s="530">
        <f>SUM(E93)</f>
        <v>0</v>
      </c>
      <c r="F92" s="415">
        <f t="shared" si="3"/>
        <v>0</v>
      </c>
    </row>
    <row r="93" spans="1:6" s="37" customFormat="1" ht="37.5" customHeight="1">
      <c r="A93" s="472"/>
      <c r="B93" s="472"/>
      <c r="C93" s="521" t="s">
        <v>15</v>
      </c>
      <c r="D93" s="452">
        <f>70000+5892.78</f>
        <v>75892.78</v>
      </c>
      <c r="E93" s="452">
        <v>0</v>
      </c>
      <c r="F93" s="667"/>
    </row>
    <row r="94" spans="1:6" s="37" customFormat="1" ht="24.75" customHeight="1">
      <c r="A94" s="992" t="s">
        <v>171</v>
      </c>
      <c r="B94" s="993"/>
      <c r="C94" s="994"/>
      <c r="D94" s="531">
        <f>D12+D70</f>
        <v>16164676.16</v>
      </c>
      <c r="E94" s="531">
        <f>E12+E70</f>
        <v>16820394</v>
      </c>
      <c r="F94" s="700">
        <f>E94*100/D94</f>
        <v>104.0564860904705</v>
      </c>
    </row>
    <row r="95" spans="3:6" s="37" customFormat="1" ht="12.75">
      <c r="C95" s="84"/>
      <c r="D95" s="262"/>
      <c r="F95" s="414"/>
    </row>
  </sheetData>
  <mergeCells count="1">
    <mergeCell ref="A94:C94"/>
  </mergeCells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37">
      <selection activeCell="J10" sqref="J10"/>
    </sheetView>
  </sheetViews>
  <sheetFormatPr defaultColWidth="9.140625" defaultRowHeight="12.75"/>
  <cols>
    <col min="1" max="1" width="4.57421875" style="40" customWidth="1"/>
    <col min="2" max="2" width="22.7109375" style="40" customWidth="1"/>
    <col min="3" max="3" width="32.00390625" style="40" customWidth="1"/>
    <col min="4" max="4" width="18.8515625" style="40" customWidth="1"/>
    <col min="5" max="5" width="16.140625" style="40" customWidth="1"/>
    <col min="6" max="6" width="8.140625" style="40" customWidth="1"/>
    <col min="7" max="16384" width="9.140625" style="40" customWidth="1"/>
  </cols>
  <sheetData>
    <row r="1" spans="3:4" ht="18.75" customHeight="1">
      <c r="C1" s="454"/>
      <c r="D1" s="603" t="s">
        <v>640</v>
      </c>
    </row>
    <row r="2" spans="3:4" ht="18.75" customHeight="1">
      <c r="C2" s="454"/>
      <c r="D2" s="245" t="s">
        <v>620</v>
      </c>
    </row>
    <row r="3" spans="3:4" ht="18.75" customHeight="1">
      <c r="C3" s="454"/>
      <c r="D3" s="245" t="s">
        <v>202</v>
      </c>
    </row>
    <row r="4" spans="3:4" ht="18.75" customHeight="1">
      <c r="C4" s="454"/>
      <c r="D4" s="245" t="s">
        <v>621</v>
      </c>
    </row>
    <row r="5" spans="3:4" ht="19.5" customHeight="1">
      <c r="C5" s="245"/>
      <c r="D5" s="245"/>
    </row>
    <row r="6" spans="1:3" s="456" customFormat="1" ht="17.25" customHeight="1">
      <c r="A6" s="113" t="s">
        <v>45</v>
      </c>
      <c r="B6" s="650"/>
      <c r="C6" s="651"/>
    </row>
    <row r="7" spans="1:3" s="456" customFormat="1" ht="17.25" customHeight="1">
      <c r="A7" s="113" t="s">
        <v>563</v>
      </c>
      <c r="B7" s="650"/>
      <c r="C7" s="651"/>
    </row>
    <row r="8" spans="1:3" s="456" customFormat="1" ht="17.25" customHeight="1">
      <c r="A8" s="652" t="s">
        <v>662</v>
      </c>
      <c r="B8" s="650"/>
      <c r="C8" s="651"/>
    </row>
    <row r="9" spans="3:6" ht="11.25" customHeight="1">
      <c r="C9" s="653"/>
      <c r="D9" s="458"/>
      <c r="E9" s="458" t="s">
        <v>308</v>
      </c>
      <c r="F9" s="375"/>
    </row>
    <row r="10" spans="1:6" ht="33" customHeight="1">
      <c r="A10" s="258" t="s">
        <v>309</v>
      </c>
      <c r="B10" s="258" t="s">
        <v>139</v>
      </c>
      <c r="C10" s="258" t="s">
        <v>564</v>
      </c>
      <c r="D10" s="459" t="s">
        <v>641</v>
      </c>
      <c r="E10" s="459" t="s">
        <v>148</v>
      </c>
      <c r="F10" s="267" t="s">
        <v>411</v>
      </c>
    </row>
    <row r="11" spans="1:6" ht="24" customHeight="1">
      <c r="A11" s="49" t="s">
        <v>565</v>
      </c>
      <c r="B11" s="654"/>
      <c r="C11" s="655"/>
      <c r="D11" s="656">
        <f>D12+D16+D19</f>
        <v>16198856.13</v>
      </c>
      <c r="E11" s="656">
        <f>E12+E16+E19</f>
        <v>16491065.98</v>
      </c>
      <c r="F11" s="415">
        <f>E11*100/D11</f>
        <v>101.8038918776421</v>
      </c>
    </row>
    <row r="12" spans="1:6" s="661" customFormat="1" ht="23.25" customHeight="1">
      <c r="A12" s="515" t="s">
        <v>642</v>
      </c>
      <c r="B12" s="657"/>
      <c r="C12" s="658"/>
      <c r="D12" s="659">
        <f>D13</f>
        <v>4890000</v>
      </c>
      <c r="E12" s="659">
        <f>E13</f>
        <v>4890000</v>
      </c>
      <c r="F12" s="660">
        <f>E12*100/D12</f>
        <v>100</v>
      </c>
    </row>
    <row r="13" spans="1:6" ht="28.5" customHeight="1">
      <c r="A13" s="662">
        <v>921</v>
      </c>
      <c r="B13" s="663" t="s">
        <v>571</v>
      </c>
      <c r="C13" s="11"/>
      <c r="D13" s="656">
        <f>D14+D15</f>
        <v>4890000</v>
      </c>
      <c r="E13" s="656">
        <f>E14+E15</f>
        <v>4890000</v>
      </c>
      <c r="F13" s="415">
        <f>E13*100/D13</f>
        <v>100</v>
      </c>
    </row>
    <row r="14" spans="1:6" ht="27.75" customHeight="1">
      <c r="A14" s="664"/>
      <c r="B14" s="665"/>
      <c r="C14" s="666" t="s">
        <v>643</v>
      </c>
      <c r="D14" s="452">
        <v>3500000</v>
      </c>
      <c r="E14" s="452">
        <v>3500000</v>
      </c>
      <c r="F14" s="667">
        <f>E14*100/D14</f>
        <v>100</v>
      </c>
    </row>
    <row r="15" spans="1:6" ht="27.75" customHeight="1">
      <c r="A15" s="668"/>
      <c r="B15" s="669"/>
      <c r="C15" s="666" t="s">
        <v>644</v>
      </c>
      <c r="D15" s="452">
        <f>1200000+100000+90000</f>
        <v>1390000</v>
      </c>
      <c r="E15" s="452">
        <v>1390000</v>
      </c>
      <c r="F15" s="667">
        <f>E15*100/D15</f>
        <v>100</v>
      </c>
    </row>
    <row r="16" spans="1:6" ht="26.25" customHeight="1">
      <c r="A16" s="515" t="s">
        <v>645</v>
      </c>
      <c r="B16" s="670"/>
      <c r="C16" s="666"/>
      <c r="D16" s="659">
        <f>D17</f>
        <v>11292633.63</v>
      </c>
      <c r="E16" s="659">
        <f>E17</f>
        <v>11495395.98</v>
      </c>
      <c r="F16" s="415">
        <f aca="true" t="shared" si="0" ref="F16:F28">E16*100/D16</f>
        <v>101.79552756817809</v>
      </c>
    </row>
    <row r="17" spans="1:6" ht="29.25" customHeight="1">
      <c r="A17" s="101">
        <v>600</v>
      </c>
      <c r="B17" s="42" t="s">
        <v>311</v>
      </c>
      <c r="C17" s="666"/>
      <c r="D17" s="656">
        <f>D18</f>
        <v>11292633.63</v>
      </c>
      <c r="E17" s="656">
        <f>E18</f>
        <v>11495395.98</v>
      </c>
      <c r="F17" s="415">
        <f t="shared" si="0"/>
        <v>101.79552756817809</v>
      </c>
    </row>
    <row r="18" spans="1:6" ht="33" customHeight="1">
      <c r="A18" s="671"/>
      <c r="B18" s="672"/>
      <c r="C18" s="499" t="s">
        <v>646</v>
      </c>
      <c r="D18" s="452">
        <f>11269646.05+5542.46+17445.12</f>
        <v>11292633.63</v>
      </c>
      <c r="E18" s="452">
        <v>11495395.98</v>
      </c>
      <c r="F18" s="667">
        <f t="shared" si="0"/>
        <v>101.79552756817809</v>
      </c>
    </row>
    <row r="19" spans="1:6" ht="26.25" customHeight="1">
      <c r="A19" s="3" t="s">
        <v>140</v>
      </c>
      <c r="B19" s="14"/>
      <c r="C19" s="11"/>
      <c r="D19" s="659">
        <f>D20+D22</f>
        <v>16222.5</v>
      </c>
      <c r="E19" s="659">
        <f>E20+E22+E24</f>
        <v>105670</v>
      </c>
      <c r="F19" s="415">
        <f t="shared" si="0"/>
        <v>651.3792572044999</v>
      </c>
    </row>
    <row r="20" spans="1:6" ht="28.5" customHeight="1">
      <c r="A20" s="10">
        <v>750</v>
      </c>
      <c r="B20" s="673" t="s">
        <v>344</v>
      </c>
      <c r="C20" s="521"/>
      <c r="D20" s="656">
        <f>SUM(D21)</f>
        <v>4222.5</v>
      </c>
      <c r="E20" s="656">
        <f>SUM(E21)</f>
        <v>0</v>
      </c>
      <c r="F20" s="415">
        <f t="shared" si="0"/>
        <v>0</v>
      </c>
    </row>
    <row r="21" spans="1:6" ht="50.25" customHeight="1">
      <c r="A21" s="471"/>
      <c r="B21" s="496"/>
      <c r="C21" s="521" t="s">
        <v>647</v>
      </c>
      <c r="D21" s="674">
        <v>4222.5</v>
      </c>
      <c r="E21" s="674">
        <v>0</v>
      </c>
      <c r="F21" s="667">
        <f t="shared" si="0"/>
        <v>0</v>
      </c>
    </row>
    <row r="22" spans="1:6" ht="30" customHeight="1">
      <c r="A22" s="57">
        <v>900</v>
      </c>
      <c r="B22" s="493" t="s">
        <v>648</v>
      </c>
      <c r="C22" s="675"/>
      <c r="D22" s="530">
        <f>D23</f>
        <v>12000</v>
      </c>
      <c r="E22" s="530">
        <f>E23</f>
        <v>12000</v>
      </c>
      <c r="F22" s="415">
        <f t="shared" si="0"/>
        <v>100</v>
      </c>
    </row>
    <row r="23" spans="1:7" ht="45.75" customHeight="1">
      <c r="A23" s="664"/>
      <c r="B23" s="18"/>
      <c r="C23" s="676" t="s">
        <v>649</v>
      </c>
      <c r="D23" s="677">
        <v>12000</v>
      </c>
      <c r="E23" s="677">
        <v>12000</v>
      </c>
      <c r="F23" s="667">
        <f t="shared" si="0"/>
        <v>100</v>
      </c>
      <c r="G23" s="22"/>
    </row>
    <row r="24" spans="1:7" ht="36" customHeight="1">
      <c r="A24" s="662">
        <v>921</v>
      </c>
      <c r="B24" s="663" t="s">
        <v>571</v>
      </c>
      <c r="C24" s="514"/>
      <c r="D24" s="678">
        <f>D25</f>
        <v>0</v>
      </c>
      <c r="E24" s="678">
        <f>E25</f>
        <v>93670</v>
      </c>
      <c r="F24" s="415"/>
      <c r="G24" s="22"/>
    </row>
    <row r="25" spans="1:7" ht="27" customHeight="1">
      <c r="A25" s="664"/>
      <c r="B25" s="662"/>
      <c r="C25" s="501" t="s">
        <v>650</v>
      </c>
      <c r="D25" s="677"/>
      <c r="E25" s="677">
        <v>93670</v>
      </c>
      <c r="F25" s="415"/>
      <c r="G25" s="22"/>
    </row>
    <row r="26" spans="1:7" ht="30.75" customHeight="1">
      <c r="A26" s="49" t="s">
        <v>573</v>
      </c>
      <c r="B26" s="679"/>
      <c r="C26" s="680"/>
      <c r="D26" s="487">
        <f>D27+D30</f>
        <v>3881498</v>
      </c>
      <c r="E26" s="487">
        <f>E27+E30</f>
        <v>4097800</v>
      </c>
      <c r="F26" s="415">
        <f t="shared" si="0"/>
        <v>105.57264231490007</v>
      </c>
      <c r="G26" s="22"/>
    </row>
    <row r="27" spans="1:7" ht="33" customHeight="1">
      <c r="A27" s="477" t="s">
        <v>642</v>
      </c>
      <c r="B27" s="681"/>
      <c r="C27" s="682"/>
      <c r="D27" s="683">
        <f>D28</f>
        <v>2638000</v>
      </c>
      <c r="E27" s="683">
        <f>E28</f>
        <v>2638000</v>
      </c>
      <c r="F27" s="415">
        <f t="shared" si="0"/>
        <v>100</v>
      </c>
      <c r="G27" s="22"/>
    </row>
    <row r="28" spans="1:6" ht="33" customHeight="1">
      <c r="A28" s="101">
        <v>921</v>
      </c>
      <c r="B28" s="663" t="s">
        <v>571</v>
      </c>
      <c r="C28" s="514"/>
      <c r="D28" s="678">
        <f>D29</f>
        <v>2638000</v>
      </c>
      <c r="E28" s="678">
        <f>E29</f>
        <v>2638000</v>
      </c>
      <c r="F28" s="415">
        <f t="shared" si="0"/>
        <v>100</v>
      </c>
    </row>
    <row r="29" spans="1:6" ht="24.75" customHeight="1">
      <c r="A29" s="684"/>
      <c r="B29" s="496"/>
      <c r="C29" s="499" t="s">
        <v>651</v>
      </c>
      <c r="D29" s="452">
        <v>2638000</v>
      </c>
      <c r="E29" s="452">
        <v>2638000</v>
      </c>
      <c r="F29" s="667"/>
    </row>
    <row r="30" spans="1:6" ht="27.75" customHeight="1">
      <c r="A30" s="3" t="s">
        <v>140</v>
      </c>
      <c r="B30" s="685"/>
      <c r="C30" s="499"/>
      <c r="D30" s="527">
        <f>D31+D33+D35+D37+D39+D41</f>
        <v>1243498</v>
      </c>
      <c r="E30" s="527">
        <f>E31+E33+E35+E37+E39+E41</f>
        <v>1459800</v>
      </c>
      <c r="F30" s="660">
        <f>E30*100/D30</f>
        <v>117.39463995921183</v>
      </c>
    </row>
    <row r="31" spans="1:6" ht="27.75" customHeight="1">
      <c r="A31" s="101">
        <v>600</v>
      </c>
      <c r="B31" s="42" t="s">
        <v>311</v>
      </c>
      <c r="C31" s="521"/>
      <c r="D31" s="259">
        <f>D32</f>
        <v>250000</v>
      </c>
      <c r="E31" s="259">
        <f>E32</f>
        <v>250000</v>
      </c>
      <c r="F31" s="415">
        <f aca="true" t="shared" si="1" ref="F31:F45">E31*100/D31</f>
        <v>100</v>
      </c>
    </row>
    <row r="32" spans="1:6" ht="80.25" customHeight="1">
      <c r="A32" s="665"/>
      <c r="B32" s="686"/>
      <c r="C32" s="506" t="s">
        <v>652</v>
      </c>
      <c r="D32" s="452">
        <f>155000+95000</f>
        <v>250000</v>
      </c>
      <c r="E32" s="452">
        <v>250000</v>
      </c>
      <c r="F32" s="667">
        <f t="shared" si="1"/>
        <v>100</v>
      </c>
    </row>
    <row r="33" spans="1:6" ht="27.75" customHeight="1">
      <c r="A33" s="18">
        <v>630</v>
      </c>
      <c r="B33" s="687" t="s">
        <v>578</v>
      </c>
      <c r="C33" s="521"/>
      <c r="D33" s="259">
        <f>D34</f>
        <v>2258</v>
      </c>
      <c r="E33" s="259">
        <f>E34</f>
        <v>2900</v>
      </c>
      <c r="F33" s="415">
        <f t="shared" si="1"/>
        <v>128.43224092116918</v>
      </c>
    </row>
    <row r="34" spans="1:6" ht="48.75" customHeight="1">
      <c r="A34" s="665"/>
      <c r="B34" s="686"/>
      <c r="C34" s="506" t="s">
        <v>653</v>
      </c>
      <c r="D34" s="452">
        <v>2258</v>
      </c>
      <c r="E34" s="452">
        <v>2900</v>
      </c>
      <c r="F34" s="667">
        <f t="shared" si="1"/>
        <v>128.43224092116918</v>
      </c>
    </row>
    <row r="35" spans="1:6" ht="29.25" customHeight="1">
      <c r="A35" s="101">
        <v>801</v>
      </c>
      <c r="B35" s="673" t="s">
        <v>348</v>
      </c>
      <c r="C35" s="506"/>
      <c r="D35" s="259">
        <f>D36</f>
        <v>1200</v>
      </c>
      <c r="E35" s="259">
        <f>E36</f>
        <v>0</v>
      </c>
      <c r="F35" s="415">
        <f t="shared" si="1"/>
        <v>0</v>
      </c>
    </row>
    <row r="36" spans="1:6" ht="26.25" customHeight="1">
      <c r="A36" s="10"/>
      <c r="B36" s="673"/>
      <c r="C36" s="506" t="s">
        <v>654</v>
      </c>
      <c r="D36" s="452">
        <v>1200</v>
      </c>
      <c r="E36" s="452">
        <v>0</v>
      </c>
      <c r="F36" s="667">
        <f t="shared" si="1"/>
        <v>0</v>
      </c>
    </row>
    <row r="37" spans="1:6" ht="29.25" customHeight="1">
      <c r="A37" s="101">
        <v>852</v>
      </c>
      <c r="B37" s="673" t="s">
        <v>422</v>
      </c>
      <c r="C37" s="506"/>
      <c r="D37" s="259">
        <f>D38</f>
        <v>20040</v>
      </c>
      <c r="E37" s="259">
        <f>E38</f>
        <v>60000</v>
      </c>
      <c r="F37" s="415">
        <f>E37*100/D37</f>
        <v>299.4011976047904</v>
      </c>
    </row>
    <row r="38" spans="1:6" ht="47.25" customHeight="1">
      <c r="A38" s="10"/>
      <c r="B38" s="673"/>
      <c r="C38" s="506" t="s">
        <v>655</v>
      </c>
      <c r="D38" s="452">
        <v>20040</v>
      </c>
      <c r="E38" s="452">
        <v>60000</v>
      </c>
      <c r="F38" s="667">
        <f>E38*100/D38</f>
        <v>299.4011976047904</v>
      </c>
    </row>
    <row r="39" spans="1:6" ht="36" customHeight="1">
      <c r="A39" s="101">
        <v>853</v>
      </c>
      <c r="B39" s="673" t="s">
        <v>439</v>
      </c>
      <c r="C39" s="506"/>
      <c r="D39" s="259">
        <f>D40</f>
        <v>970000</v>
      </c>
      <c r="E39" s="259">
        <f>E40</f>
        <v>1115000</v>
      </c>
      <c r="F39" s="415">
        <f t="shared" si="1"/>
        <v>114.94845360824742</v>
      </c>
    </row>
    <row r="40" spans="1:6" ht="28.5" customHeight="1">
      <c r="A40" s="10"/>
      <c r="B40" s="673"/>
      <c r="C40" s="506" t="s">
        <v>656</v>
      </c>
      <c r="D40" s="452">
        <v>970000</v>
      </c>
      <c r="E40" s="452">
        <v>1115000</v>
      </c>
      <c r="F40" s="667">
        <f t="shared" si="1"/>
        <v>114.94845360824742</v>
      </c>
    </row>
    <row r="41" spans="1:6" ht="30.75" customHeight="1">
      <c r="A41" s="662">
        <v>921</v>
      </c>
      <c r="B41" s="663" t="s">
        <v>571</v>
      </c>
      <c r="C41" s="514"/>
      <c r="D41" s="678">
        <f>D42</f>
        <v>0</v>
      </c>
      <c r="E41" s="678">
        <f>E42</f>
        <v>31900</v>
      </c>
      <c r="F41" s="415"/>
    </row>
    <row r="42" spans="1:6" ht="35.25" customHeight="1">
      <c r="A42" s="489"/>
      <c r="B42" s="489"/>
      <c r="C42" s="499" t="s">
        <v>657</v>
      </c>
      <c r="D42" s="452">
        <v>0</v>
      </c>
      <c r="E42" s="452">
        <f>E43+E44</f>
        <v>31900</v>
      </c>
      <c r="F42" s="667"/>
    </row>
    <row r="43" spans="1:6" ht="18.75" customHeight="1">
      <c r="A43" s="491"/>
      <c r="B43" s="491"/>
      <c r="C43" s="499" t="s">
        <v>658</v>
      </c>
      <c r="D43" s="452"/>
      <c r="E43" s="452">
        <v>29900</v>
      </c>
      <c r="F43" s="667"/>
    </row>
    <row r="44" spans="1:6" ht="19.5" customHeight="1">
      <c r="A44" s="688"/>
      <c r="B44" s="688"/>
      <c r="C44" s="499" t="s">
        <v>659</v>
      </c>
      <c r="D44" s="452"/>
      <c r="E44" s="452">
        <v>2000</v>
      </c>
      <c r="F44" s="667"/>
    </row>
    <row r="45" spans="1:6" ht="25.5" customHeight="1">
      <c r="A45" s="995" t="s">
        <v>171</v>
      </c>
      <c r="B45" s="963"/>
      <c r="C45" s="994"/>
      <c r="D45" s="531">
        <f>D11+D26</f>
        <v>20080354.130000003</v>
      </c>
      <c r="E45" s="531">
        <f>E11+E26</f>
        <v>20588865.98</v>
      </c>
      <c r="F45" s="415">
        <f t="shared" si="1"/>
        <v>102.5323848708439</v>
      </c>
    </row>
  </sheetData>
  <mergeCells count="1">
    <mergeCell ref="A45:C45"/>
  </mergeCells>
  <printOptions/>
  <pageMargins left="0.1968503937007874" right="0" top="0.787401574803149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3"/>
  <sheetViews>
    <sheetView workbookViewId="0" topLeftCell="A1">
      <selection activeCell="K19" sqref="K19"/>
    </sheetView>
  </sheetViews>
  <sheetFormatPr defaultColWidth="9.140625" defaultRowHeight="12.75"/>
  <cols>
    <col min="1" max="1" width="26.57421875" style="22" customWidth="1"/>
    <col min="2" max="2" width="6.7109375" style="22" customWidth="1"/>
    <col min="3" max="3" width="14.57421875" style="22" customWidth="1"/>
    <col min="4" max="4" width="14.7109375" style="22" customWidth="1"/>
    <col min="5" max="5" width="13.28125" style="22" customWidth="1"/>
    <col min="6" max="6" width="16.8515625" style="22" customWidth="1"/>
    <col min="7" max="7" width="17.00390625" style="22" customWidth="1"/>
    <col min="8" max="8" width="14.57421875" style="22" customWidth="1"/>
    <col min="9" max="16384" width="9.140625" style="22" customWidth="1"/>
  </cols>
  <sheetData>
    <row r="1" ht="19.5">
      <c r="F1" s="603" t="s">
        <v>619</v>
      </c>
    </row>
    <row r="2" ht="18.75">
      <c r="F2" s="245" t="s">
        <v>620</v>
      </c>
    </row>
    <row r="3" spans="1:20" ht="19.5" customHeight="1">
      <c r="A3" s="456"/>
      <c r="B3" s="40"/>
      <c r="C3" s="534"/>
      <c r="D3" s="40"/>
      <c r="E3" s="164"/>
      <c r="F3" s="245" t="s">
        <v>202</v>
      </c>
      <c r="G3" s="604"/>
      <c r="H3" s="123"/>
      <c r="I3" s="123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7.25" customHeight="1">
      <c r="A4" s="456"/>
      <c r="B4" s="40"/>
      <c r="C4" s="40"/>
      <c r="D4" s="40"/>
      <c r="E4" s="40"/>
      <c r="F4" s="245" t="s">
        <v>621</v>
      </c>
      <c r="G4" s="604"/>
      <c r="H4" s="123"/>
      <c r="I4" s="123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2" customHeight="1">
      <c r="A5" s="456"/>
      <c r="B5" s="40"/>
      <c r="C5" s="40"/>
      <c r="D5" s="40"/>
      <c r="E5" s="40"/>
      <c r="F5" s="245"/>
      <c r="G5" s="604"/>
      <c r="H5" s="123"/>
      <c r="I5" s="123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2" customHeight="1">
      <c r="A6" s="456"/>
      <c r="B6" s="40"/>
      <c r="C6" s="40"/>
      <c r="D6" s="40"/>
      <c r="E6" s="40"/>
      <c r="F6" s="245"/>
      <c r="G6" s="604"/>
      <c r="H6" s="123"/>
      <c r="I6" s="123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s="605" customFormat="1" ht="18.75">
      <c r="A7" s="256"/>
      <c r="B7" s="256"/>
      <c r="C7" s="256" t="s">
        <v>622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</row>
    <row r="8" spans="1:20" s="605" customFormat="1" ht="18.75">
      <c r="A8" s="606"/>
      <c r="B8" s="256" t="s">
        <v>623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</row>
    <row r="9" spans="1:20" s="605" customFormat="1" ht="18.75">
      <c r="A9" s="256"/>
      <c r="B9" s="256"/>
      <c r="C9" s="256"/>
      <c r="D9" s="256"/>
      <c r="E9" s="256"/>
      <c r="F9" s="256"/>
      <c r="G9" s="458" t="s">
        <v>308</v>
      </c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</row>
    <row r="10" spans="1:20" ht="19.5" customHeight="1">
      <c r="A10" s="607"/>
      <c r="B10" s="608"/>
      <c r="C10" s="609"/>
      <c r="D10" s="610" t="s">
        <v>624</v>
      </c>
      <c r="E10" s="611"/>
      <c r="F10" s="612" t="s">
        <v>625</v>
      </c>
      <c r="G10" s="613"/>
      <c r="H10" s="123"/>
      <c r="I10" s="123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21.75" customHeight="1">
      <c r="A11" s="614"/>
      <c r="B11" s="615"/>
      <c r="C11" s="616"/>
      <c r="D11" s="617" t="s">
        <v>626</v>
      </c>
      <c r="E11" s="588"/>
      <c r="F11" s="618"/>
      <c r="G11" s="619" t="s">
        <v>280</v>
      </c>
      <c r="H11" s="123"/>
      <c r="I11" s="123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18.75" customHeight="1">
      <c r="A12" s="620" t="s">
        <v>627</v>
      </c>
      <c r="B12" s="621" t="s">
        <v>309</v>
      </c>
      <c r="C12" s="66" t="s">
        <v>628</v>
      </c>
      <c r="D12" s="964" t="s">
        <v>629</v>
      </c>
      <c r="E12" s="966" t="s">
        <v>630</v>
      </c>
      <c r="F12" s="622" t="s">
        <v>631</v>
      </c>
      <c r="G12" s="968" t="s">
        <v>632</v>
      </c>
      <c r="H12" s="123"/>
      <c r="I12" s="123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19.5" customHeight="1">
      <c r="A13" s="623"/>
      <c r="B13" s="624" t="s">
        <v>633</v>
      </c>
      <c r="C13" s="623"/>
      <c r="D13" s="965"/>
      <c r="E13" s="967"/>
      <c r="F13" s="625"/>
      <c r="G13" s="969"/>
      <c r="H13" s="123"/>
      <c r="I13" s="123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2.75">
      <c r="A14" s="626">
        <v>1</v>
      </c>
      <c r="B14" s="626">
        <v>2</v>
      </c>
      <c r="C14" s="626">
        <v>3</v>
      </c>
      <c r="D14" s="626">
        <v>4</v>
      </c>
      <c r="E14" s="626">
        <v>5</v>
      </c>
      <c r="F14" s="626">
        <v>6</v>
      </c>
      <c r="G14" s="626">
        <v>7</v>
      </c>
      <c r="H14" s="123"/>
      <c r="I14" s="123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632" customFormat="1" ht="21" customHeight="1">
      <c r="A15" s="627" t="s">
        <v>171</v>
      </c>
      <c r="B15" s="623"/>
      <c r="C15" s="628">
        <f>C17</f>
        <v>22995791.96</v>
      </c>
      <c r="D15" s="628">
        <f>SUM(D17,)</f>
        <v>11495395.98</v>
      </c>
      <c r="E15" s="628"/>
      <c r="F15" s="629">
        <f>SUM(F17:F21)</f>
        <v>22995791.96</v>
      </c>
      <c r="G15" s="630">
        <f>SUM(G17:G21)</f>
        <v>0</v>
      </c>
      <c r="H15" s="63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ht="13.5" customHeight="1">
      <c r="A16" s="633" t="s">
        <v>634</v>
      </c>
      <c r="B16" s="614"/>
      <c r="C16" s="631"/>
      <c r="D16" s="631"/>
      <c r="E16" s="615"/>
      <c r="F16" s="634"/>
      <c r="G16" s="635"/>
      <c r="H16" s="636"/>
      <c r="I16" s="123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ht="37.5" customHeight="1">
      <c r="A17" s="637" t="s">
        <v>635</v>
      </c>
      <c r="B17" s="100">
        <v>600</v>
      </c>
      <c r="C17" s="214">
        <v>22995791.96</v>
      </c>
      <c r="D17" s="214">
        <f>SUM(D19,)</f>
        <v>11495395.98</v>
      </c>
      <c r="E17" s="638"/>
      <c r="F17" s="213">
        <v>22995791.96</v>
      </c>
      <c r="G17" s="639"/>
      <c r="H17" s="640"/>
      <c r="I17" s="641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2.75">
      <c r="A18" s="156" t="s">
        <v>280</v>
      </c>
      <c r="B18" s="642">
        <v>60004</v>
      </c>
      <c r="C18" s="600"/>
      <c r="D18" s="600"/>
      <c r="E18" s="643"/>
      <c r="F18" s="242"/>
      <c r="G18" s="449"/>
      <c r="H18" s="257"/>
      <c r="I18" s="641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62.25" customHeight="1">
      <c r="A19" s="644" t="s">
        <v>636</v>
      </c>
      <c r="B19" s="642"/>
      <c r="C19" s="600"/>
      <c r="D19" s="600">
        <v>11495395.98</v>
      </c>
      <c r="E19" s="645" t="s">
        <v>637</v>
      </c>
      <c r="F19" s="242"/>
      <c r="G19" s="449"/>
      <c r="H19" s="257"/>
      <c r="I19" s="5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2" customHeight="1">
      <c r="A20" s="156" t="s">
        <v>638</v>
      </c>
      <c r="B20" s="642"/>
      <c r="C20" s="600"/>
      <c r="D20" s="600"/>
      <c r="E20" s="643"/>
      <c r="F20" s="242"/>
      <c r="G20" s="449"/>
      <c r="H20" s="257"/>
      <c r="I20" s="56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30.75" customHeight="1">
      <c r="A21" s="646" t="s">
        <v>639</v>
      </c>
      <c r="B21" s="647"/>
      <c r="C21" s="601"/>
      <c r="D21" s="601">
        <v>1273645.98</v>
      </c>
      <c r="E21" s="648"/>
      <c r="F21" s="241"/>
      <c r="G21" s="649"/>
      <c r="H21" s="257"/>
      <c r="I21" s="56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2.75">
      <c r="A22" s="40"/>
      <c r="B22" s="40"/>
      <c r="C22" s="40"/>
      <c r="D22" s="40"/>
      <c r="E22" s="40"/>
      <c r="F22" s="40"/>
      <c r="G22" s="40"/>
      <c r="H22" s="123"/>
      <c r="I22" s="123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2.75">
      <c r="A23" s="40"/>
      <c r="B23" s="40"/>
      <c r="C23" s="40"/>
      <c r="D23" s="40"/>
      <c r="E23" s="40"/>
      <c r="F23" s="40"/>
      <c r="G23" s="40"/>
      <c r="H23" s="123"/>
      <c r="I23" s="123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2.75">
      <c r="A24" s="40"/>
      <c r="B24" s="40"/>
      <c r="C24" s="40"/>
      <c r="D24" s="40"/>
      <c r="E24" s="40"/>
      <c r="F24" s="40"/>
      <c r="G24" s="40"/>
      <c r="H24" s="123"/>
      <c r="I24" s="123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.75">
      <c r="A25" s="40"/>
      <c r="B25" s="40"/>
      <c r="C25" s="48"/>
      <c r="D25" s="40"/>
      <c r="E25" s="40"/>
      <c r="F25" s="48"/>
      <c r="G25" s="40"/>
      <c r="H25" s="123"/>
      <c r="I25" s="123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2.75">
      <c r="A26" s="40"/>
      <c r="B26" s="40"/>
      <c r="C26" s="40"/>
      <c r="D26" s="40"/>
      <c r="E26" s="40"/>
      <c r="F26" s="40"/>
      <c r="G26" s="40"/>
      <c r="H26" s="123"/>
      <c r="I26" s="123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2.75">
      <c r="A27" s="40"/>
      <c r="B27" s="40"/>
      <c r="C27" s="48"/>
      <c r="D27" s="48"/>
      <c r="E27" s="48"/>
      <c r="F27" s="48"/>
      <c r="G27" s="40"/>
      <c r="H27" s="123"/>
      <c r="I27" s="123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2.75">
      <c r="A28" s="40"/>
      <c r="B28" s="40"/>
      <c r="C28" s="40"/>
      <c r="D28" s="40"/>
      <c r="E28" s="40"/>
      <c r="F28" s="40"/>
      <c r="G28" s="40"/>
      <c r="H28" s="123"/>
      <c r="I28" s="123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.75">
      <c r="A29" s="40"/>
      <c r="B29" s="48"/>
      <c r="C29" s="48"/>
      <c r="D29" s="48"/>
      <c r="E29" s="48"/>
      <c r="F29" s="40"/>
      <c r="G29" s="40"/>
      <c r="H29" s="123"/>
      <c r="I29" s="123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40"/>
      <c r="B30" s="48"/>
      <c r="C30" s="48"/>
      <c r="D30" s="48"/>
      <c r="E30" s="48"/>
      <c r="F30" s="40"/>
      <c r="G30" s="40"/>
      <c r="H30" s="123"/>
      <c r="I30" s="123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40"/>
      <c r="B31" s="48"/>
      <c r="C31" s="48"/>
      <c r="D31" s="48"/>
      <c r="E31" s="48"/>
      <c r="F31" s="40"/>
      <c r="G31" s="40"/>
      <c r="H31" s="123"/>
      <c r="I31" s="123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2.75">
      <c r="A32" s="40"/>
      <c r="B32" s="48"/>
      <c r="C32" s="48"/>
      <c r="D32" s="48"/>
      <c r="E32" s="48"/>
      <c r="F32" s="40"/>
      <c r="G32" s="40"/>
      <c r="H32" s="123"/>
      <c r="I32" s="123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ht="12.75">
      <c r="A33" s="40"/>
      <c r="B33" s="48"/>
      <c r="C33" s="48"/>
      <c r="D33" s="48"/>
      <c r="E33" s="48"/>
      <c r="F33" s="40"/>
      <c r="G33" s="40"/>
      <c r="H33" s="123"/>
      <c r="I33" s="123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12.75">
      <c r="A34" s="40"/>
      <c r="B34" s="48"/>
      <c r="C34" s="48"/>
      <c r="D34" s="48"/>
      <c r="E34" s="48"/>
      <c r="F34" s="40"/>
      <c r="G34" s="40"/>
      <c r="H34" s="123"/>
      <c r="I34" s="123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ht="12.75">
      <c r="A35" s="40"/>
      <c r="B35" s="48"/>
      <c r="C35" s="48"/>
      <c r="D35" s="48"/>
      <c r="E35" s="48"/>
      <c r="F35" s="40"/>
      <c r="G35" s="40"/>
      <c r="H35" s="123"/>
      <c r="I35" s="123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2.75">
      <c r="A36" s="40"/>
      <c r="B36" s="40"/>
      <c r="C36" s="40"/>
      <c r="D36" s="40"/>
      <c r="E36" s="40"/>
      <c r="F36" s="40"/>
      <c r="G36" s="40"/>
      <c r="H36" s="123"/>
      <c r="I36" s="123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2.75">
      <c r="A37" s="40"/>
      <c r="B37" s="40"/>
      <c r="C37" s="40"/>
      <c r="D37" s="40"/>
      <c r="E37" s="40"/>
      <c r="F37" s="40"/>
      <c r="G37" s="40"/>
      <c r="H37" s="123"/>
      <c r="I37" s="123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12.75">
      <c r="A38" s="40"/>
      <c r="B38" s="40"/>
      <c r="C38" s="40"/>
      <c r="D38" s="40"/>
      <c r="E38" s="40"/>
      <c r="F38" s="40"/>
      <c r="G38" s="40"/>
      <c r="H38" s="123"/>
      <c r="I38" s="123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12.75">
      <c r="A39" s="40"/>
      <c r="B39" s="40"/>
      <c r="C39" s="40"/>
      <c r="D39" s="40"/>
      <c r="E39" s="40"/>
      <c r="F39" s="40"/>
      <c r="G39" s="40"/>
      <c r="H39" s="123"/>
      <c r="I39" s="123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2.75">
      <c r="A40" s="40"/>
      <c r="B40" s="40"/>
      <c r="C40" s="40"/>
      <c r="D40" s="40"/>
      <c r="E40" s="40"/>
      <c r="F40" s="40"/>
      <c r="G40" s="40"/>
      <c r="H40" s="123"/>
      <c r="I40" s="123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12.75">
      <c r="A41" s="40"/>
      <c r="B41" s="40"/>
      <c r="C41" s="40"/>
      <c r="D41" s="40"/>
      <c r="E41" s="40"/>
      <c r="F41" s="40"/>
      <c r="G41" s="40"/>
      <c r="H41" s="123"/>
      <c r="I41" s="123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.75">
      <c r="A42" s="40"/>
      <c r="B42" s="40"/>
      <c r="C42" s="40"/>
      <c r="D42" s="40"/>
      <c r="E42" s="40"/>
      <c r="F42" s="40"/>
      <c r="G42" s="40"/>
      <c r="H42" s="123"/>
      <c r="I42" s="123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.75">
      <c r="A43" s="40"/>
      <c r="B43" s="40"/>
      <c r="C43" s="40"/>
      <c r="D43" s="40"/>
      <c r="E43" s="40"/>
      <c r="F43" s="40"/>
      <c r="G43" s="40"/>
      <c r="H43" s="123"/>
      <c r="I43" s="123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2.75">
      <c r="A44" s="40"/>
      <c r="B44" s="40"/>
      <c r="C44" s="40"/>
      <c r="D44" s="40"/>
      <c r="E44" s="40"/>
      <c r="F44" s="40"/>
      <c r="G44" s="40"/>
      <c r="H44" s="123"/>
      <c r="I44" s="123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2.75">
      <c r="A45" s="40"/>
      <c r="B45" s="40"/>
      <c r="C45" s="40"/>
      <c r="D45" s="40"/>
      <c r="E45" s="40"/>
      <c r="F45" s="40"/>
      <c r="G45" s="40"/>
      <c r="H45" s="123"/>
      <c r="I45" s="123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2.75">
      <c r="A46" s="40"/>
      <c r="B46" s="40"/>
      <c r="C46" s="40"/>
      <c r="D46" s="40"/>
      <c r="E46" s="40"/>
      <c r="F46" s="40"/>
      <c r="G46" s="40"/>
      <c r="H46" s="123"/>
      <c r="I46" s="123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2.75">
      <c r="A47" s="40"/>
      <c r="B47" s="40"/>
      <c r="C47" s="40"/>
      <c r="D47" s="40"/>
      <c r="E47" s="40"/>
      <c r="F47" s="40"/>
      <c r="G47" s="40"/>
      <c r="H47" s="123"/>
      <c r="I47" s="123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2.75">
      <c r="A48" s="40"/>
      <c r="B48" s="40"/>
      <c r="C48" s="40"/>
      <c r="D48" s="40"/>
      <c r="E48" s="40"/>
      <c r="F48" s="40"/>
      <c r="G48" s="40"/>
      <c r="H48" s="123"/>
      <c r="I48" s="123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2.75">
      <c r="A49" s="40"/>
      <c r="B49" s="40"/>
      <c r="C49" s="40"/>
      <c r="D49" s="40"/>
      <c r="E49" s="40"/>
      <c r="F49" s="40"/>
      <c r="G49" s="40"/>
      <c r="H49" s="123"/>
      <c r="I49" s="123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2.75">
      <c r="A50" s="40"/>
      <c r="B50" s="40"/>
      <c r="C50" s="40"/>
      <c r="D50" s="40"/>
      <c r="E50" s="40"/>
      <c r="F50" s="40"/>
      <c r="G50" s="40"/>
      <c r="H50" s="123"/>
      <c r="I50" s="123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2.75">
      <c r="A51" s="40"/>
      <c r="B51" s="40"/>
      <c r="C51" s="40"/>
      <c r="D51" s="40"/>
      <c r="E51" s="40"/>
      <c r="F51" s="40"/>
      <c r="G51" s="40"/>
      <c r="H51" s="123"/>
      <c r="I51" s="12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2.75">
      <c r="A52" s="40"/>
      <c r="B52" s="40"/>
      <c r="C52" s="40"/>
      <c r="D52" s="40"/>
      <c r="E52" s="40"/>
      <c r="F52" s="40"/>
      <c r="G52" s="40"/>
      <c r="H52" s="123"/>
      <c r="I52" s="12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2.75">
      <c r="A53" s="40"/>
      <c r="B53" s="40"/>
      <c r="C53" s="40"/>
      <c r="D53" s="40"/>
      <c r="E53" s="40"/>
      <c r="F53" s="40"/>
      <c r="G53" s="40"/>
      <c r="H53" s="123"/>
      <c r="I53" s="12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2.75">
      <c r="A54" s="40"/>
      <c r="B54" s="40"/>
      <c r="C54" s="40"/>
      <c r="D54" s="40"/>
      <c r="E54" s="40"/>
      <c r="F54" s="40"/>
      <c r="G54" s="40"/>
      <c r="H54" s="123"/>
      <c r="I54" s="12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2.75">
      <c r="A55" s="40"/>
      <c r="B55" s="40"/>
      <c r="C55" s="40"/>
      <c r="D55" s="40"/>
      <c r="E55" s="40"/>
      <c r="F55" s="40"/>
      <c r="G55" s="40"/>
      <c r="H55" s="123"/>
      <c r="I55" s="123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2.75">
      <c r="A56" s="40"/>
      <c r="B56" s="40"/>
      <c r="C56" s="40"/>
      <c r="D56" s="40"/>
      <c r="E56" s="40"/>
      <c r="F56" s="40"/>
      <c r="G56" s="40"/>
      <c r="H56" s="123"/>
      <c r="I56" s="123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12.75">
      <c r="A57" s="40"/>
      <c r="B57" s="40"/>
      <c r="C57" s="40"/>
      <c r="D57" s="40"/>
      <c r="E57" s="40"/>
      <c r="F57" s="40"/>
      <c r="G57" s="40"/>
      <c r="H57" s="123"/>
      <c r="I57" s="123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2.75">
      <c r="A58" s="40"/>
      <c r="B58" s="40"/>
      <c r="C58" s="40"/>
      <c r="D58" s="40"/>
      <c r="E58" s="40"/>
      <c r="F58" s="40"/>
      <c r="G58" s="40"/>
      <c r="H58" s="123"/>
      <c r="I58" s="123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2.75">
      <c r="A59" s="40"/>
      <c r="B59" s="40"/>
      <c r="C59" s="40"/>
      <c r="D59" s="40"/>
      <c r="E59" s="40"/>
      <c r="F59" s="40"/>
      <c r="G59" s="40"/>
      <c r="H59" s="123"/>
      <c r="I59" s="123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2.75">
      <c r="A60" s="40"/>
      <c r="B60" s="40"/>
      <c r="C60" s="40"/>
      <c r="D60" s="40"/>
      <c r="E60" s="40"/>
      <c r="F60" s="40"/>
      <c r="G60" s="40"/>
      <c r="H60" s="123"/>
      <c r="I60" s="123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2.75">
      <c r="A61" s="40"/>
      <c r="B61" s="40"/>
      <c r="C61" s="40"/>
      <c r="D61" s="40"/>
      <c r="E61" s="40"/>
      <c r="F61" s="40"/>
      <c r="G61" s="40"/>
      <c r="H61" s="123"/>
      <c r="I61" s="123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2.75">
      <c r="A62" s="40"/>
      <c r="B62" s="40"/>
      <c r="C62" s="40"/>
      <c r="D62" s="40"/>
      <c r="E62" s="40"/>
      <c r="F62" s="40"/>
      <c r="G62" s="40"/>
      <c r="H62" s="123"/>
      <c r="I62" s="123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2.75">
      <c r="A63" s="40"/>
      <c r="B63" s="40"/>
      <c r="C63" s="40"/>
      <c r="D63" s="40"/>
      <c r="E63" s="40"/>
      <c r="F63" s="40"/>
      <c r="G63" s="40"/>
      <c r="H63" s="123"/>
      <c r="I63" s="123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2.75">
      <c r="A64" s="40"/>
      <c r="B64" s="40"/>
      <c r="C64" s="40"/>
      <c r="D64" s="40"/>
      <c r="E64" s="40"/>
      <c r="F64" s="40"/>
      <c r="G64" s="40"/>
      <c r="H64" s="123"/>
      <c r="I64" s="123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2.75">
      <c r="A65" s="40"/>
      <c r="B65" s="40"/>
      <c r="C65" s="40"/>
      <c r="D65" s="40"/>
      <c r="E65" s="40"/>
      <c r="F65" s="40"/>
      <c r="G65" s="40"/>
      <c r="H65" s="123"/>
      <c r="I65" s="123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2.75">
      <c r="A66" s="40"/>
      <c r="B66" s="40"/>
      <c r="C66" s="40"/>
      <c r="D66" s="40"/>
      <c r="E66" s="40"/>
      <c r="F66" s="40"/>
      <c r="G66" s="40"/>
      <c r="H66" s="123"/>
      <c r="I66" s="123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12.75">
      <c r="A67" s="40"/>
      <c r="B67" s="40"/>
      <c r="C67" s="40"/>
      <c r="D67" s="40"/>
      <c r="E67" s="40"/>
      <c r="F67" s="40"/>
      <c r="G67" s="40"/>
      <c r="H67" s="123"/>
      <c r="I67" s="123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12.75">
      <c r="A68" s="40"/>
      <c r="B68" s="40"/>
      <c r="C68" s="40"/>
      <c r="D68" s="40"/>
      <c r="E68" s="40"/>
      <c r="F68" s="40"/>
      <c r="G68" s="40"/>
      <c r="H68" s="123"/>
      <c r="I68" s="123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ht="12.75">
      <c r="A69" s="40"/>
      <c r="B69" s="40"/>
      <c r="C69" s="40"/>
      <c r="D69" s="40"/>
      <c r="E69" s="40"/>
      <c r="F69" s="40"/>
      <c r="G69" s="40"/>
      <c r="H69" s="123"/>
      <c r="I69" s="123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12.75">
      <c r="A70" s="40"/>
      <c r="B70" s="40"/>
      <c r="C70" s="40"/>
      <c r="D70" s="40"/>
      <c r="E70" s="40"/>
      <c r="F70" s="40"/>
      <c r="G70" s="40"/>
      <c r="H70" s="123"/>
      <c r="I70" s="123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12.75">
      <c r="A71" s="40"/>
      <c r="B71" s="40"/>
      <c r="C71" s="40"/>
      <c r="D71" s="40"/>
      <c r="E71" s="40"/>
      <c r="F71" s="40"/>
      <c r="G71" s="40"/>
      <c r="H71" s="123"/>
      <c r="I71" s="123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2.75">
      <c r="A72" s="40"/>
      <c r="B72" s="40"/>
      <c r="C72" s="40"/>
      <c r="D72" s="40"/>
      <c r="E72" s="40"/>
      <c r="F72" s="40"/>
      <c r="G72" s="40"/>
      <c r="H72" s="123"/>
      <c r="I72" s="123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12.75">
      <c r="A73" s="40"/>
      <c r="B73" s="40"/>
      <c r="C73" s="40"/>
      <c r="D73" s="40"/>
      <c r="E73" s="40"/>
      <c r="F73" s="40"/>
      <c r="G73" s="40"/>
      <c r="H73" s="123"/>
      <c r="I73" s="123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12.75">
      <c r="A74" s="40"/>
      <c r="B74" s="40"/>
      <c r="C74" s="40"/>
      <c r="D74" s="40"/>
      <c r="E74" s="40"/>
      <c r="F74" s="40"/>
      <c r="G74" s="40"/>
      <c r="H74" s="123"/>
      <c r="I74" s="123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2.75">
      <c r="A75" s="40"/>
      <c r="B75" s="40"/>
      <c r="C75" s="40"/>
      <c r="D75" s="40"/>
      <c r="E75" s="40"/>
      <c r="F75" s="40"/>
      <c r="G75" s="40"/>
      <c r="H75" s="123"/>
      <c r="I75" s="123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2.75">
      <c r="A76" s="40"/>
      <c r="B76" s="40"/>
      <c r="C76" s="40"/>
      <c r="D76" s="40"/>
      <c r="E76" s="40"/>
      <c r="F76" s="40"/>
      <c r="G76" s="40"/>
      <c r="H76" s="123"/>
      <c r="I76" s="123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2.75">
      <c r="A77" s="40"/>
      <c r="B77" s="40"/>
      <c r="C77" s="40"/>
      <c r="D77" s="40"/>
      <c r="E77" s="40"/>
      <c r="F77" s="40"/>
      <c r="G77" s="40"/>
      <c r="H77" s="123"/>
      <c r="I77" s="123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2.75">
      <c r="A78" s="40"/>
      <c r="B78" s="40"/>
      <c r="C78" s="40"/>
      <c r="D78" s="40"/>
      <c r="E78" s="40"/>
      <c r="F78" s="40"/>
      <c r="G78" s="40"/>
      <c r="H78" s="123"/>
      <c r="I78" s="123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2.75">
      <c r="A79" s="40"/>
      <c r="B79" s="40"/>
      <c r="C79" s="40"/>
      <c r="D79" s="40"/>
      <c r="E79" s="40"/>
      <c r="F79" s="40"/>
      <c r="G79" s="40"/>
      <c r="H79" s="123"/>
      <c r="I79" s="123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2.75">
      <c r="A80" s="40"/>
      <c r="B80" s="40"/>
      <c r="C80" s="40"/>
      <c r="D80" s="40"/>
      <c r="E80" s="40"/>
      <c r="F80" s="40"/>
      <c r="G80" s="40"/>
      <c r="H80" s="123"/>
      <c r="I80" s="123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2.75">
      <c r="A81" s="40"/>
      <c r="B81" s="40"/>
      <c r="C81" s="40"/>
      <c r="D81" s="40"/>
      <c r="E81" s="40"/>
      <c r="F81" s="40"/>
      <c r="G81" s="40"/>
      <c r="H81" s="123"/>
      <c r="I81" s="123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2.75">
      <c r="A82" s="40"/>
      <c r="B82" s="40"/>
      <c r="C82" s="40"/>
      <c r="D82" s="40"/>
      <c r="E82" s="40"/>
      <c r="F82" s="40"/>
      <c r="G82" s="40"/>
      <c r="H82" s="123"/>
      <c r="I82" s="123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12.75">
      <c r="A83" s="40"/>
      <c r="B83" s="40"/>
      <c r="C83" s="40"/>
      <c r="D83" s="40"/>
      <c r="E83" s="40"/>
      <c r="F83" s="40"/>
      <c r="G83" s="40"/>
      <c r="H83" s="123"/>
      <c r="I83" s="123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2.75">
      <c r="A84" s="40"/>
      <c r="B84" s="40"/>
      <c r="C84" s="40"/>
      <c r="D84" s="40"/>
      <c r="E84" s="40"/>
      <c r="F84" s="40"/>
      <c r="G84" s="40"/>
      <c r="H84" s="123"/>
      <c r="I84" s="123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2.75">
      <c r="A85" s="40"/>
      <c r="B85" s="40"/>
      <c r="C85" s="40"/>
      <c r="D85" s="40"/>
      <c r="E85" s="40"/>
      <c r="F85" s="40"/>
      <c r="G85" s="40"/>
      <c r="H85" s="123"/>
      <c r="I85" s="123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2.75">
      <c r="A86" s="40"/>
      <c r="B86" s="40"/>
      <c r="C86" s="40"/>
      <c r="D86" s="40"/>
      <c r="E86" s="40"/>
      <c r="F86" s="40"/>
      <c r="G86" s="40"/>
      <c r="H86" s="123"/>
      <c r="I86" s="123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2.75">
      <c r="A87" s="40"/>
      <c r="B87" s="40"/>
      <c r="C87" s="40"/>
      <c r="D87" s="40"/>
      <c r="E87" s="40"/>
      <c r="F87" s="40"/>
      <c r="G87" s="40"/>
      <c r="H87" s="123"/>
      <c r="I87" s="123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12.75">
      <c r="A88" s="40"/>
      <c r="B88" s="40"/>
      <c r="C88" s="40"/>
      <c r="D88" s="40"/>
      <c r="E88" s="40"/>
      <c r="F88" s="40"/>
      <c r="G88" s="40"/>
      <c r="H88" s="123"/>
      <c r="I88" s="123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2.75">
      <c r="A89" s="40"/>
      <c r="B89" s="40"/>
      <c r="C89" s="40"/>
      <c r="D89" s="40"/>
      <c r="E89" s="40"/>
      <c r="F89" s="40"/>
      <c r="G89" s="40"/>
      <c r="H89" s="123"/>
      <c r="I89" s="123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2.75">
      <c r="A90" s="40"/>
      <c r="B90" s="40"/>
      <c r="C90" s="40"/>
      <c r="D90" s="40"/>
      <c r="E90" s="40"/>
      <c r="F90" s="40"/>
      <c r="G90" s="40"/>
      <c r="H90" s="123"/>
      <c r="I90" s="123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2.75">
      <c r="A91" s="40"/>
      <c r="B91" s="40"/>
      <c r="C91" s="40"/>
      <c r="D91" s="40"/>
      <c r="E91" s="40"/>
      <c r="F91" s="40"/>
      <c r="G91" s="40"/>
      <c r="H91" s="123"/>
      <c r="I91" s="123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2.75">
      <c r="A92" s="40"/>
      <c r="B92" s="40"/>
      <c r="C92" s="40"/>
      <c r="D92" s="40"/>
      <c r="E92" s="40"/>
      <c r="F92" s="40"/>
      <c r="G92" s="40"/>
      <c r="H92" s="123"/>
      <c r="I92" s="123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2.75">
      <c r="A93" s="40"/>
      <c r="B93" s="40"/>
      <c r="C93" s="40"/>
      <c r="D93" s="40"/>
      <c r="E93" s="40"/>
      <c r="F93" s="40"/>
      <c r="G93" s="40"/>
      <c r="H93" s="123"/>
      <c r="I93" s="123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2.75">
      <c r="A94" s="40"/>
      <c r="B94" s="40"/>
      <c r="C94" s="40"/>
      <c r="D94" s="40"/>
      <c r="E94" s="40"/>
      <c r="F94" s="40"/>
      <c r="G94" s="40"/>
      <c r="H94" s="123"/>
      <c r="I94" s="123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12.75">
      <c r="A95" s="40"/>
      <c r="B95" s="40"/>
      <c r="C95" s="40"/>
      <c r="D95" s="40"/>
      <c r="E95" s="40"/>
      <c r="F95" s="40"/>
      <c r="G95" s="40"/>
      <c r="H95" s="123"/>
      <c r="I95" s="123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12.75">
      <c r="A96" s="40"/>
      <c r="B96" s="40"/>
      <c r="C96" s="40"/>
      <c r="D96" s="40"/>
      <c r="E96" s="40"/>
      <c r="F96" s="40"/>
      <c r="G96" s="40"/>
      <c r="H96" s="123"/>
      <c r="I96" s="123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12.75">
      <c r="A97" s="40"/>
      <c r="B97" s="40"/>
      <c r="C97" s="40"/>
      <c r="D97" s="40"/>
      <c r="E97" s="40"/>
      <c r="F97" s="40"/>
      <c r="G97" s="40"/>
      <c r="H97" s="123"/>
      <c r="I97" s="123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12.75">
      <c r="A98" s="40"/>
      <c r="B98" s="40"/>
      <c r="C98" s="40"/>
      <c r="D98" s="40"/>
      <c r="E98" s="40"/>
      <c r="F98" s="40"/>
      <c r="G98" s="40"/>
      <c r="H98" s="123"/>
      <c r="I98" s="123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12.75">
      <c r="A99" s="40"/>
      <c r="B99" s="40"/>
      <c r="C99" s="40"/>
      <c r="D99" s="40"/>
      <c r="E99" s="40"/>
      <c r="F99" s="40"/>
      <c r="G99" s="40"/>
      <c r="H99" s="123"/>
      <c r="I99" s="123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12.75">
      <c r="A100" s="40"/>
      <c r="B100" s="40"/>
      <c r="C100" s="40"/>
      <c r="D100" s="40"/>
      <c r="E100" s="40"/>
      <c r="F100" s="40"/>
      <c r="G100" s="40"/>
      <c r="H100" s="123"/>
      <c r="I100" s="123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2.75">
      <c r="A101" s="40"/>
      <c r="B101" s="40"/>
      <c r="C101" s="40"/>
      <c r="D101" s="40"/>
      <c r="E101" s="40"/>
      <c r="F101" s="40"/>
      <c r="G101" s="40"/>
      <c r="H101" s="123"/>
      <c r="I101" s="123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12.75">
      <c r="A102" s="40"/>
      <c r="B102" s="40"/>
      <c r="C102" s="40"/>
      <c r="D102" s="40"/>
      <c r="E102" s="40"/>
      <c r="F102" s="40"/>
      <c r="G102" s="40"/>
      <c r="H102" s="123"/>
      <c r="I102" s="123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2.75">
      <c r="A103" s="40"/>
      <c r="B103" s="40"/>
      <c r="C103" s="40"/>
      <c r="D103" s="40"/>
      <c r="E103" s="40"/>
      <c r="F103" s="40"/>
      <c r="G103" s="40"/>
      <c r="H103" s="123"/>
      <c r="I103" s="123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2.75">
      <c r="A104" s="40"/>
      <c r="B104" s="40"/>
      <c r="C104" s="40"/>
      <c r="D104" s="40"/>
      <c r="E104" s="40"/>
      <c r="F104" s="40"/>
      <c r="G104" s="40"/>
      <c r="H104" s="123"/>
      <c r="I104" s="123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2.75">
      <c r="A105" s="40"/>
      <c r="B105" s="40"/>
      <c r="C105" s="40"/>
      <c r="D105" s="40"/>
      <c r="E105" s="40"/>
      <c r="F105" s="40"/>
      <c r="G105" s="40"/>
      <c r="H105" s="123"/>
      <c r="I105" s="123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2.75">
      <c r="A106" s="40"/>
      <c r="B106" s="40"/>
      <c r="C106" s="40"/>
      <c r="D106" s="40"/>
      <c r="E106" s="40"/>
      <c r="F106" s="40"/>
      <c r="G106" s="40"/>
      <c r="H106" s="123"/>
      <c r="I106" s="123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12.75">
      <c r="A107" s="40"/>
      <c r="B107" s="40"/>
      <c r="C107" s="40"/>
      <c r="D107" s="40"/>
      <c r="E107" s="40"/>
      <c r="F107" s="40"/>
      <c r="G107" s="40"/>
      <c r="H107" s="123"/>
      <c r="I107" s="123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2.75">
      <c r="A108" s="40"/>
      <c r="B108" s="40"/>
      <c r="C108" s="40"/>
      <c r="D108" s="40"/>
      <c r="E108" s="40"/>
      <c r="F108" s="40"/>
      <c r="G108" s="40"/>
      <c r="H108" s="123"/>
      <c r="I108" s="123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12.75">
      <c r="A109" s="40"/>
      <c r="B109" s="40"/>
      <c r="C109" s="40"/>
      <c r="D109" s="40"/>
      <c r="E109" s="40"/>
      <c r="F109" s="40"/>
      <c r="G109" s="40"/>
      <c r="H109" s="123"/>
      <c r="I109" s="123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ht="12.75">
      <c r="A110" s="40"/>
      <c r="B110" s="40"/>
      <c r="C110" s="40"/>
      <c r="D110" s="40"/>
      <c r="E110" s="40"/>
      <c r="F110" s="40"/>
      <c r="G110" s="40"/>
      <c r="H110" s="123"/>
      <c r="I110" s="123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2.75">
      <c r="A111" s="40"/>
      <c r="B111" s="40"/>
      <c r="C111" s="40"/>
      <c r="D111" s="40"/>
      <c r="E111" s="40"/>
      <c r="F111" s="40"/>
      <c r="G111" s="40"/>
      <c r="H111" s="123"/>
      <c r="I111" s="123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12.75">
      <c r="A112" s="40"/>
      <c r="B112" s="40"/>
      <c r="C112" s="40"/>
      <c r="D112" s="40"/>
      <c r="E112" s="40"/>
      <c r="F112" s="40"/>
      <c r="G112" s="40"/>
      <c r="H112" s="123"/>
      <c r="I112" s="123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12.75">
      <c r="A113" s="40"/>
      <c r="B113" s="40"/>
      <c r="C113" s="40"/>
      <c r="D113" s="40"/>
      <c r="E113" s="40"/>
      <c r="F113" s="40"/>
      <c r="G113" s="40"/>
      <c r="H113" s="123"/>
      <c r="I113" s="123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12.75">
      <c r="A114" s="40"/>
      <c r="B114" s="40"/>
      <c r="C114" s="40"/>
      <c r="D114" s="40"/>
      <c r="E114" s="40"/>
      <c r="F114" s="40"/>
      <c r="G114" s="40"/>
      <c r="H114" s="123"/>
      <c r="I114" s="123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12.75">
      <c r="A115" s="40"/>
      <c r="B115" s="40"/>
      <c r="C115" s="40"/>
      <c r="D115" s="40"/>
      <c r="E115" s="40"/>
      <c r="F115" s="40"/>
      <c r="G115" s="40"/>
      <c r="H115" s="123"/>
      <c r="I115" s="123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2.75">
      <c r="A116" s="40"/>
      <c r="B116" s="40"/>
      <c r="C116" s="40"/>
      <c r="D116" s="40"/>
      <c r="E116" s="40"/>
      <c r="F116" s="40"/>
      <c r="G116" s="40"/>
      <c r="H116" s="123"/>
      <c r="I116" s="123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12.75">
      <c r="A117" s="40"/>
      <c r="B117" s="40"/>
      <c r="C117" s="40"/>
      <c r="D117" s="40"/>
      <c r="E117" s="40"/>
      <c r="F117" s="40"/>
      <c r="G117" s="40"/>
      <c r="H117" s="123"/>
      <c r="I117" s="123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12.75">
      <c r="A118" s="40"/>
      <c r="B118" s="40"/>
      <c r="C118" s="40"/>
      <c r="D118" s="40"/>
      <c r="E118" s="40"/>
      <c r="F118" s="40"/>
      <c r="G118" s="40"/>
      <c r="H118" s="123"/>
      <c r="I118" s="123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12.75">
      <c r="A119" s="40"/>
      <c r="B119" s="40"/>
      <c r="C119" s="40"/>
      <c r="D119" s="40"/>
      <c r="E119" s="40"/>
      <c r="F119" s="40"/>
      <c r="G119" s="40"/>
      <c r="H119" s="123"/>
      <c r="I119" s="123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12.75">
      <c r="A120" s="40"/>
      <c r="B120" s="40"/>
      <c r="C120" s="40"/>
      <c r="D120" s="40"/>
      <c r="E120" s="40"/>
      <c r="F120" s="40"/>
      <c r="G120" s="40"/>
      <c r="H120" s="123"/>
      <c r="I120" s="123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2.75">
      <c r="A121" s="40"/>
      <c r="B121" s="40"/>
      <c r="C121" s="40"/>
      <c r="D121" s="40"/>
      <c r="E121" s="40"/>
      <c r="F121" s="40"/>
      <c r="G121" s="40"/>
      <c r="H121" s="123"/>
      <c r="I121" s="123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12.75">
      <c r="A122" s="40"/>
      <c r="B122" s="40"/>
      <c r="C122" s="40"/>
      <c r="D122" s="40"/>
      <c r="E122" s="40"/>
      <c r="F122" s="40"/>
      <c r="G122" s="40"/>
      <c r="H122" s="123"/>
      <c r="I122" s="123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12.75">
      <c r="A123" s="40"/>
      <c r="B123" s="40"/>
      <c r="C123" s="40"/>
      <c r="D123" s="40"/>
      <c r="E123" s="40"/>
      <c r="F123" s="40"/>
      <c r="G123" s="40"/>
      <c r="H123" s="123"/>
      <c r="I123" s="123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12.75">
      <c r="A124" s="40"/>
      <c r="B124" s="40"/>
      <c r="C124" s="40"/>
      <c r="D124" s="40"/>
      <c r="E124" s="40"/>
      <c r="F124" s="40"/>
      <c r="G124" s="40"/>
      <c r="H124" s="123"/>
      <c r="I124" s="123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2.75">
      <c r="A125" s="40"/>
      <c r="B125" s="40"/>
      <c r="C125" s="40"/>
      <c r="D125" s="40"/>
      <c r="E125" s="40"/>
      <c r="F125" s="40"/>
      <c r="G125" s="40"/>
      <c r="H125" s="123"/>
      <c r="I125" s="123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ht="12.75">
      <c r="A126" s="40"/>
      <c r="B126" s="40"/>
      <c r="C126" s="40"/>
      <c r="D126" s="40"/>
      <c r="E126" s="40"/>
      <c r="F126" s="40"/>
      <c r="G126" s="40"/>
      <c r="H126" s="123"/>
      <c r="I126" s="123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12.75">
      <c r="A127" s="40"/>
      <c r="B127" s="40"/>
      <c r="C127" s="40"/>
      <c r="D127" s="40"/>
      <c r="E127" s="40"/>
      <c r="F127" s="40"/>
      <c r="G127" s="40"/>
      <c r="H127" s="123"/>
      <c r="I127" s="123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2.75">
      <c r="A128" s="40"/>
      <c r="B128" s="40"/>
      <c r="C128" s="40"/>
      <c r="D128" s="40"/>
      <c r="E128" s="40"/>
      <c r="F128" s="40"/>
      <c r="G128" s="40"/>
      <c r="H128" s="123"/>
      <c r="I128" s="123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2.75">
      <c r="A129" s="40"/>
      <c r="B129" s="40"/>
      <c r="C129" s="40"/>
      <c r="D129" s="40"/>
      <c r="E129" s="40"/>
      <c r="F129" s="40"/>
      <c r="G129" s="40"/>
      <c r="H129" s="123"/>
      <c r="I129" s="123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2.75">
      <c r="A130" s="40"/>
      <c r="B130" s="40"/>
      <c r="C130" s="40"/>
      <c r="D130" s="40"/>
      <c r="E130" s="40"/>
      <c r="F130" s="40"/>
      <c r="G130" s="40"/>
      <c r="H130" s="123"/>
      <c r="I130" s="123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12.75">
      <c r="A131" s="40"/>
      <c r="B131" s="40"/>
      <c r="C131" s="40"/>
      <c r="D131" s="40"/>
      <c r="E131" s="40"/>
      <c r="F131" s="40"/>
      <c r="G131" s="40"/>
      <c r="H131" s="123"/>
      <c r="I131" s="123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12.75">
      <c r="A132" s="40"/>
      <c r="B132" s="40"/>
      <c r="C132" s="40"/>
      <c r="D132" s="40"/>
      <c r="E132" s="40"/>
      <c r="F132" s="40"/>
      <c r="G132" s="40"/>
      <c r="H132" s="123"/>
      <c r="I132" s="123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ht="12.75">
      <c r="A133" s="40"/>
      <c r="B133" s="40"/>
      <c r="C133" s="40"/>
      <c r="D133" s="40"/>
      <c r="E133" s="40"/>
      <c r="F133" s="40"/>
      <c r="G133" s="40"/>
      <c r="H133" s="123"/>
      <c r="I133" s="123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12.75">
      <c r="A134" s="40"/>
      <c r="B134" s="40"/>
      <c r="C134" s="40"/>
      <c r="D134" s="40"/>
      <c r="E134" s="40"/>
      <c r="F134" s="40"/>
      <c r="G134" s="40"/>
      <c r="H134" s="123"/>
      <c r="I134" s="123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12.75">
      <c r="A135" s="40"/>
      <c r="B135" s="40"/>
      <c r="C135" s="40"/>
      <c r="D135" s="40"/>
      <c r="E135" s="40"/>
      <c r="F135" s="40"/>
      <c r="G135" s="40"/>
      <c r="H135" s="123"/>
      <c r="I135" s="123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2.75">
      <c r="A136" s="40"/>
      <c r="B136" s="40"/>
      <c r="C136" s="40"/>
      <c r="D136" s="40"/>
      <c r="E136" s="40"/>
      <c r="F136" s="40"/>
      <c r="G136" s="40"/>
      <c r="H136" s="123"/>
      <c r="I136" s="123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2.75">
      <c r="A137" s="40"/>
      <c r="B137" s="40"/>
      <c r="C137" s="40"/>
      <c r="D137" s="40"/>
      <c r="E137" s="40"/>
      <c r="F137" s="40"/>
      <c r="G137" s="40"/>
      <c r="H137" s="123"/>
      <c r="I137" s="123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2.75">
      <c r="A138" s="40"/>
      <c r="B138" s="40"/>
      <c r="C138" s="40"/>
      <c r="D138" s="40"/>
      <c r="E138" s="40"/>
      <c r="F138" s="40"/>
      <c r="G138" s="40"/>
      <c r="H138" s="123"/>
      <c r="I138" s="123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2.75">
      <c r="A139" s="40"/>
      <c r="B139" s="40"/>
      <c r="C139" s="40"/>
      <c r="D139" s="40"/>
      <c r="E139" s="40"/>
      <c r="F139" s="40"/>
      <c r="G139" s="40"/>
      <c r="H139" s="123"/>
      <c r="I139" s="123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12.75">
      <c r="A140" s="40"/>
      <c r="B140" s="40"/>
      <c r="C140" s="40"/>
      <c r="D140" s="40"/>
      <c r="E140" s="40"/>
      <c r="F140" s="40"/>
      <c r="G140" s="40"/>
      <c r="H140" s="123"/>
      <c r="I140" s="123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12.75">
      <c r="A141" s="40"/>
      <c r="B141" s="40"/>
      <c r="C141" s="40"/>
      <c r="D141" s="40"/>
      <c r="E141" s="40"/>
      <c r="F141" s="40"/>
      <c r="G141" s="40"/>
      <c r="H141" s="123"/>
      <c r="I141" s="123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ht="12.75">
      <c r="A142" s="40"/>
      <c r="B142" s="40"/>
      <c r="C142" s="40"/>
      <c r="D142" s="40"/>
      <c r="E142" s="40"/>
      <c r="F142" s="40"/>
      <c r="G142" s="40"/>
      <c r="H142" s="123"/>
      <c r="I142" s="123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ht="12.75">
      <c r="A143" s="40"/>
      <c r="B143" s="40"/>
      <c r="C143" s="40"/>
      <c r="D143" s="40"/>
      <c r="E143" s="40"/>
      <c r="F143" s="40"/>
      <c r="G143" s="40"/>
      <c r="H143" s="123"/>
      <c r="I143" s="123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2.75">
      <c r="A144" s="40"/>
      <c r="B144" s="40"/>
      <c r="C144" s="40"/>
      <c r="D144" s="40"/>
      <c r="E144" s="40"/>
      <c r="F144" s="40"/>
      <c r="G144" s="40"/>
      <c r="H144" s="123"/>
      <c r="I144" s="123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2.75">
      <c r="A145" s="40"/>
      <c r="B145" s="40"/>
      <c r="C145" s="40"/>
      <c r="D145" s="40"/>
      <c r="E145" s="40"/>
      <c r="F145" s="40"/>
      <c r="G145" s="40"/>
      <c r="H145" s="123"/>
      <c r="I145" s="123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2.75">
      <c r="A146" s="40"/>
      <c r="B146" s="40"/>
      <c r="C146" s="40"/>
      <c r="D146" s="40"/>
      <c r="E146" s="40"/>
      <c r="F146" s="40"/>
      <c r="G146" s="40"/>
      <c r="H146" s="123"/>
      <c r="I146" s="123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2.75">
      <c r="A147" s="40"/>
      <c r="B147" s="40"/>
      <c r="C147" s="40"/>
      <c r="D147" s="40"/>
      <c r="E147" s="40"/>
      <c r="F147" s="40"/>
      <c r="G147" s="40"/>
      <c r="H147" s="123"/>
      <c r="I147" s="123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2.75">
      <c r="A148" s="40"/>
      <c r="B148" s="40"/>
      <c r="C148" s="40"/>
      <c r="D148" s="40"/>
      <c r="E148" s="40"/>
      <c r="F148" s="40"/>
      <c r="G148" s="40"/>
      <c r="H148" s="123"/>
      <c r="I148" s="123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2.75">
      <c r="A149" s="40"/>
      <c r="B149" s="40"/>
      <c r="C149" s="40"/>
      <c r="D149" s="40"/>
      <c r="E149" s="40"/>
      <c r="F149" s="40"/>
      <c r="G149" s="40"/>
      <c r="H149" s="123"/>
      <c r="I149" s="123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2.75">
      <c r="A150" s="40"/>
      <c r="B150" s="40"/>
      <c r="C150" s="40"/>
      <c r="D150" s="40"/>
      <c r="E150" s="40"/>
      <c r="F150" s="40"/>
      <c r="G150" s="40"/>
      <c r="H150" s="123"/>
      <c r="I150" s="123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2.75">
      <c r="A151" s="40"/>
      <c r="B151" s="40"/>
      <c r="C151" s="40"/>
      <c r="D151" s="40"/>
      <c r="E151" s="40"/>
      <c r="F151" s="40"/>
      <c r="G151" s="40"/>
      <c r="H151" s="123"/>
      <c r="I151" s="123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2.75">
      <c r="A152" s="40"/>
      <c r="B152" s="40"/>
      <c r="C152" s="40"/>
      <c r="D152" s="40"/>
      <c r="E152" s="40"/>
      <c r="F152" s="40"/>
      <c r="G152" s="40"/>
      <c r="H152" s="123"/>
      <c r="I152" s="123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ht="12.75">
      <c r="A153" s="40"/>
      <c r="B153" s="40"/>
      <c r="C153" s="40"/>
      <c r="D153" s="40"/>
      <c r="E153" s="40"/>
      <c r="F153" s="40"/>
      <c r="G153" s="40"/>
      <c r="H153" s="123"/>
      <c r="I153" s="123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12.75">
      <c r="A154" s="40"/>
      <c r="B154" s="40"/>
      <c r="C154" s="40"/>
      <c r="D154" s="40"/>
      <c r="E154" s="40"/>
      <c r="F154" s="40"/>
      <c r="G154" s="40"/>
      <c r="H154" s="123"/>
      <c r="I154" s="123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12.75">
      <c r="A155" s="40"/>
      <c r="B155" s="40"/>
      <c r="C155" s="40"/>
      <c r="D155" s="40"/>
      <c r="E155" s="40"/>
      <c r="F155" s="40"/>
      <c r="G155" s="40"/>
      <c r="H155" s="123"/>
      <c r="I155" s="123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ht="12.75">
      <c r="A156" s="40"/>
      <c r="B156" s="40"/>
      <c r="C156" s="40"/>
      <c r="D156" s="40"/>
      <c r="E156" s="40"/>
      <c r="F156" s="40"/>
      <c r="G156" s="40"/>
      <c r="H156" s="123"/>
      <c r="I156" s="123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ht="12.75">
      <c r="A157" s="40"/>
      <c r="B157" s="40"/>
      <c r="C157" s="40"/>
      <c r="D157" s="40"/>
      <c r="E157" s="40"/>
      <c r="F157" s="40"/>
      <c r="G157" s="40"/>
      <c r="H157" s="123"/>
      <c r="I157" s="123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ht="12.75">
      <c r="A158" s="40"/>
      <c r="B158" s="40"/>
      <c r="C158" s="40"/>
      <c r="D158" s="40"/>
      <c r="E158" s="40"/>
      <c r="F158" s="40"/>
      <c r="G158" s="40"/>
      <c r="H158" s="123"/>
      <c r="I158" s="123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ht="12.75">
      <c r="A159" s="40"/>
      <c r="B159" s="40"/>
      <c r="C159" s="40"/>
      <c r="D159" s="40"/>
      <c r="E159" s="40"/>
      <c r="F159" s="40"/>
      <c r="G159" s="40"/>
      <c r="H159" s="123"/>
      <c r="I159" s="123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ht="12.75">
      <c r="A160" s="40"/>
      <c r="B160" s="40"/>
      <c r="C160" s="40"/>
      <c r="D160" s="40"/>
      <c r="E160" s="40"/>
      <c r="F160" s="40"/>
      <c r="G160" s="40"/>
      <c r="H160" s="123"/>
      <c r="I160" s="123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ht="12.75">
      <c r="A161" s="40"/>
      <c r="B161" s="40"/>
      <c r="C161" s="40"/>
      <c r="D161" s="40"/>
      <c r="E161" s="40"/>
      <c r="F161" s="40"/>
      <c r="G161" s="40"/>
      <c r="H161" s="123"/>
      <c r="I161" s="123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12.75">
      <c r="A162" s="40"/>
      <c r="B162" s="40"/>
      <c r="C162" s="40"/>
      <c r="D162" s="40"/>
      <c r="E162" s="40"/>
      <c r="F162" s="40"/>
      <c r="G162" s="40"/>
      <c r="H162" s="123"/>
      <c r="I162" s="123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2.75">
      <c r="A163" s="40"/>
      <c r="B163" s="40"/>
      <c r="C163" s="40"/>
      <c r="D163" s="40"/>
      <c r="E163" s="40"/>
      <c r="F163" s="40"/>
      <c r="G163" s="40"/>
      <c r="H163" s="123"/>
      <c r="I163" s="123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2.75">
      <c r="A164" s="40"/>
      <c r="B164" s="40"/>
      <c r="C164" s="40"/>
      <c r="D164" s="40"/>
      <c r="E164" s="40"/>
      <c r="F164" s="40"/>
      <c r="G164" s="40"/>
      <c r="H164" s="123"/>
      <c r="I164" s="123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12.75">
      <c r="A165" s="40"/>
      <c r="B165" s="40"/>
      <c r="C165" s="40"/>
      <c r="D165" s="40"/>
      <c r="E165" s="40"/>
      <c r="F165" s="40"/>
      <c r="G165" s="40"/>
      <c r="H165" s="123"/>
      <c r="I165" s="123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ht="12.75">
      <c r="A166" s="40"/>
      <c r="B166" s="40"/>
      <c r="C166" s="40"/>
      <c r="D166" s="40"/>
      <c r="E166" s="40"/>
      <c r="F166" s="40"/>
      <c r="G166" s="40"/>
      <c r="H166" s="123"/>
      <c r="I166" s="123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ht="12.75">
      <c r="A167" s="40"/>
      <c r="B167" s="40"/>
      <c r="C167" s="40"/>
      <c r="D167" s="40"/>
      <c r="E167" s="40"/>
      <c r="F167" s="40"/>
      <c r="G167" s="40"/>
      <c r="H167" s="123"/>
      <c r="I167" s="123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12.75">
      <c r="A168" s="40"/>
      <c r="B168" s="40"/>
      <c r="C168" s="40"/>
      <c r="D168" s="40"/>
      <c r="E168" s="40"/>
      <c r="F168" s="40"/>
      <c r="G168" s="40"/>
      <c r="H168" s="123"/>
      <c r="I168" s="123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2.75">
      <c r="A169" s="40"/>
      <c r="B169" s="40"/>
      <c r="C169" s="40"/>
      <c r="D169" s="40"/>
      <c r="E169" s="40"/>
      <c r="F169" s="40"/>
      <c r="G169" s="40"/>
      <c r="H169" s="123"/>
      <c r="I169" s="123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2.75">
      <c r="A170" s="40"/>
      <c r="B170" s="40"/>
      <c r="C170" s="40"/>
      <c r="D170" s="40"/>
      <c r="E170" s="40"/>
      <c r="F170" s="40"/>
      <c r="G170" s="40"/>
      <c r="H170" s="123"/>
      <c r="I170" s="123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12.75">
      <c r="A171" s="40"/>
      <c r="B171" s="40"/>
      <c r="C171" s="40"/>
      <c r="D171" s="40"/>
      <c r="E171" s="40"/>
      <c r="F171" s="40"/>
      <c r="G171" s="40"/>
      <c r="H171" s="123"/>
      <c r="I171" s="123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12.75">
      <c r="A172" s="40"/>
      <c r="B172" s="40"/>
      <c r="C172" s="40"/>
      <c r="D172" s="40"/>
      <c r="E172" s="40"/>
      <c r="F172" s="40"/>
      <c r="G172" s="40"/>
      <c r="H172" s="123"/>
      <c r="I172" s="123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2.75">
      <c r="A173" s="40"/>
      <c r="B173" s="40"/>
      <c r="C173" s="40"/>
      <c r="D173" s="40"/>
      <c r="E173" s="40"/>
      <c r="F173" s="40"/>
      <c r="G173" s="40"/>
      <c r="H173" s="123"/>
      <c r="I173" s="123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2.75">
      <c r="A174" s="40"/>
      <c r="B174" s="40"/>
      <c r="C174" s="40"/>
      <c r="D174" s="40"/>
      <c r="E174" s="40"/>
      <c r="F174" s="40"/>
      <c r="G174" s="40"/>
      <c r="H174" s="123"/>
      <c r="I174" s="123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12.75">
      <c r="A175" s="40"/>
      <c r="B175" s="40"/>
      <c r="C175" s="40"/>
      <c r="D175" s="40"/>
      <c r="E175" s="40"/>
      <c r="F175" s="40"/>
      <c r="G175" s="40"/>
      <c r="H175" s="123"/>
      <c r="I175" s="123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12.75">
      <c r="A176" s="40"/>
      <c r="B176" s="40"/>
      <c r="C176" s="40"/>
      <c r="D176" s="40"/>
      <c r="E176" s="40"/>
      <c r="F176" s="40"/>
      <c r="G176" s="40"/>
      <c r="H176" s="123"/>
      <c r="I176" s="123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12.75">
      <c r="A177" s="40"/>
      <c r="B177" s="40"/>
      <c r="C177" s="40"/>
      <c r="D177" s="40"/>
      <c r="E177" s="40"/>
      <c r="F177" s="40"/>
      <c r="G177" s="40"/>
      <c r="H177" s="123"/>
      <c r="I177" s="123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ht="12.75">
      <c r="A178" s="40"/>
      <c r="B178" s="40"/>
      <c r="C178" s="40"/>
      <c r="D178" s="40"/>
      <c r="E178" s="40"/>
      <c r="F178" s="40"/>
      <c r="G178" s="40"/>
      <c r="H178" s="123"/>
      <c r="I178" s="123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ht="12.75">
      <c r="A179" s="40"/>
      <c r="B179" s="40"/>
      <c r="C179" s="40"/>
      <c r="D179" s="40"/>
      <c r="E179" s="40"/>
      <c r="F179" s="40"/>
      <c r="G179" s="40"/>
      <c r="H179" s="123"/>
      <c r="I179" s="123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12.75">
      <c r="A180" s="40"/>
      <c r="B180" s="40"/>
      <c r="C180" s="40"/>
      <c r="D180" s="40"/>
      <c r="E180" s="40"/>
      <c r="F180" s="40"/>
      <c r="G180" s="40"/>
      <c r="H180" s="123"/>
      <c r="I180" s="123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12.75">
      <c r="A181" s="40"/>
      <c r="B181" s="40"/>
      <c r="C181" s="40"/>
      <c r="D181" s="40"/>
      <c r="E181" s="40"/>
      <c r="F181" s="40"/>
      <c r="G181" s="40"/>
      <c r="H181" s="123"/>
      <c r="I181" s="123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12.75">
      <c r="A182" s="40"/>
      <c r="B182" s="40"/>
      <c r="C182" s="40"/>
      <c r="D182" s="40"/>
      <c r="E182" s="40"/>
      <c r="F182" s="40"/>
      <c r="G182" s="40"/>
      <c r="H182" s="123"/>
      <c r="I182" s="123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ht="12.75">
      <c r="A183" s="40"/>
      <c r="B183" s="40"/>
      <c r="C183" s="40"/>
      <c r="D183" s="40"/>
      <c r="E183" s="40"/>
      <c r="F183" s="40"/>
      <c r="G183" s="40"/>
      <c r="H183" s="123"/>
      <c r="I183" s="123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12.75">
      <c r="A184" s="40"/>
      <c r="B184" s="40"/>
      <c r="C184" s="40"/>
      <c r="D184" s="40"/>
      <c r="E184" s="40"/>
      <c r="F184" s="40"/>
      <c r="G184" s="40"/>
      <c r="H184" s="123"/>
      <c r="I184" s="123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ht="12.75">
      <c r="A185" s="40"/>
      <c r="B185" s="40"/>
      <c r="C185" s="40"/>
      <c r="D185" s="40"/>
      <c r="E185" s="40"/>
      <c r="F185" s="40"/>
      <c r="G185" s="40"/>
      <c r="H185" s="123"/>
      <c r="I185" s="123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2.75">
      <c r="A186" s="40"/>
      <c r="B186" s="40"/>
      <c r="C186" s="40"/>
      <c r="D186" s="40"/>
      <c r="E186" s="40"/>
      <c r="F186" s="40"/>
      <c r="G186" s="40"/>
      <c r="H186" s="123"/>
      <c r="I186" s="123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2.75">
      <c r="A187" s="40"/>
      <c r="B187" s="40"/>
      <c r="C187" s="40"/>
      <c r="D187" s="40"/>
      <c r="E187" s="40"/>
      <c r="F187" s="40"/>
      <c r="G187" s="40"/>
      <c r="H187" s="123"/>
      <c r="I187" s="123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2.75">
      <c r="A188" s="40"/>
      <c r="B188" s="40"/>
      <c r="C188" s="40"/>
      <c r="D188" s="40"/>
      <c r="E188" s="40"/>
      <c r="F188" s="40"/>
      <c r="G188" s="40"/>
      <c r="H188" s="123"/>
      <c r="I188" s="123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ht="12.75">
      <c r="A189" s="40"/>
      <c r="B189" s="40"/>
      <c r="C189" s="40"/>
      <c r="D189" s="40"/>
      <c r="E189" s="40"/>
      <c r="F189" s="40"/>
      <c r="G189" s="40"/>
      <c r="H189" s="123"/>
      <c r="I189" s="123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12.75">
      <c r="A190" s="40"/>
      <c r="B190" s="40"/>
      <c r="C190" s="40"/>
      <c r="D190" s="40"/>
      <c r="E190" s="40"/>
      <c r="F190" s="40"/>
      <c r="G190" s="40"/>
      <c r="H190" s="123"/>
      <c r="I190" s="123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ht="12.75">
      <c r="A191" s="40"/>
      <c r="B191" s="40"/>
      <c r="C191" s="40"/>
      <c r="D191" s="40"/>
      <c r="E191" s="40"/>
      <c r="F191" s="40"/>
      <c r="G191" s="40"/>
      <c r="H191" s="123"/>
      <c r="I191" s="123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12.75">
      <c r="A192" s="40"/>
      <c r="B192" s="40"/>
      <c r="C192" s="40"/>
      <c r="D192" s="40"/>
      <c r="E192" s="40"/>
      <c r="F192" s="40"/>
      <c r="G192" s="40"/>
      <c r="H192" s="123"/>
      <c r="I192" s="123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ht="12.75">
      <c r="A193" s="40"/>
      <c r="B193" s="40"/>
      <c r="C193" s="40"/>
      <c r="D193" s="40"/>
      <c r="E193" s="40"/>
      <c r="F193" s="40"/>
      <c r="G193" s="40"/>
      <c r="H193" s="123"/>
      <c r="I193" s="123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12.75">
      <c r="A194" s="40"/>
      <c r="B194" s="40"/>
      <c r="C194" s="40"/>
      <c r="D194" s="40"/>
      <c r="E194" s="40"/>
      <c r="F194" s="40"/>
      <c r="G194" s="40"/>
      <c r="H194" s="123"/>
      <c r="I194" s="123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2.75">
      <c r="A195" s="40"/>
      <c r="B195" s="40"/>
      <c r="C195" s="40"/>
      <c r="D195" s="40"/>
      <c r="E195" s="40"/>
      <c r="F195" s="40"/>
      <c r="G195" s="40"/>
      <c r="H195" s="123"/>
      <c r="I195" s="123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2.75">
      <c r="A196" s="40"/>
      <c r="B196" s="40"/>
      <c r="C196" s="40"/>
      <c r="D196" s="40"/>
      <c r="E196" s="40"/>
      <c r="F196" s="40"/>
      <c r="G196" s="40"/>
      <c r="H196" s="123"/>
      <c r="I196" s="123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2.75">
      <c r="A197" s="40"/>
      <c r="B197" s="40"/>
      <c r="C197" s="40"/>
      <c r="D197" s="40"/>
      <c r="E197" s="40"/>
      <c r="F197" s="40"/>
      <c r="G197" s="40"/>
      <c r="H197" s="123"/>
      <c r="I197" s="123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12.75">
      <c r="A198" s="40"/>
      <c r="B198" s="40"/>
      <c r="C198" s="40"/>
      <c r="D198" s="40"/>
      <c r="E198" s="40"/>
      <c r="F198" s="40"/>
      <c r="G198" s="40"/>
      <c r="H198" s="123"/>
      <c r="I198" s="123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12.75">
      <c r="A199" s="40"/>
      <c r="B199" s="40"/>
      <c r="C199" s="40"/>
      <c r="D199" s="40"/>
      <c r="E199" s="40"/>
      <c r="F199" s="40"/>
      <c r="G199" s="40"/>
      <c r="H199" s="123"/>
      <c r="I199" s="123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12.75">
      <c r="A200" s="40"/>
      <c r="B200" s="40"/>
      <c r="C200" s="40"/>
      <c r="D200" s="40"/>
      <c r="E200" s="40"/>
      <c r="F200" s="40"/>
      <c r="G200" s="40"/>
      <c r="H200" s="123"/>
      <c r="I200" s="123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2.75">
      <c r="A201" s="40"/>
      <c r="B201" s="40"/>
      <c r="C201" s="40"/>
      <c r="D201" s="40"/>
      <c r="E201" s="40"/>
      <c r="F201" s="40"/>
      <c r="G201" s="40"/>
      <c r="H201" s="123"/>
      <c r="I201" s="123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2.75">
      <c r="A202" s="40"/>
      <c r="B202" s="40"/>
      <c r="C202" s="40"/>
      <c r="D202" s="40"/>
      <c r="E202" s="40"/>
      <c r="F202" s="40"/>
      <c r="G202" s="40"/>
      <c r="H202" s="123"/>
      <c r="I202" s="123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2.75">
      <c r="A203" s="40"/>
      <c r="B203" s="40"/>
      <c r="C203" s="40"/>
      <c r="D203" s="40"/>
      <c r="E203" s="40"/>
      <c r="F203" s="40"/>
      <c r="G203" s="40"/>
      <c r="H203" s="123"/>
      <c r="I203" s="123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2.75">
      <c r="A204" s="40"/>
      <c r="B204" s="40"/>
      <c r="C204" s="40"/>
      <c r="D204" s="40"/>
      <c r="E204" s="40"/>
      <c r="F204" s="40"/>
      <c r="G204" s="40"/>
      <c r="H204" s="123"/>
      <c r="I204" s="123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2.75">
      <c r="A205" s="40"/>
      <c r="B205" s="40"/>
      <c r="C205" s="40"/>
      <c r="D205" s="40"/>
      <c r="E205" s="40"/>
      <c r="F205" s="40"/>
      <c r="G205" s="40"/>
      <c r="H205" s="123"/>
      <c r="I205" s="123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12.75">
      <c r="A206" s="40"/>
      <c r="B206" s="40"/>
      <c r="C206" s="40"/>
      <c r="D206" s="40"/>
      <c r="E206" s="40"/>
      <c r="F206" s="40"/>
      <c r="G206" s="40"/>
      <c r="H206" s="123"/>
      <c r="I206" s="123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2.75">
      <c r="A207" s="40"/>
      <c r="B207" s="40"/>
      <c r="C207" s="40"/>
      <c r="D207" s="40"/>
      <c r="E207" s="40"/>
      <c r="F207" s="40"/>
      <c r="G207" s="40"/>
      <c r="H207" s="123"/>
      <c r="I207" s="123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2.75">
      <c r="A208" s="40"/>
      <c r="B208" s="40"/>
      <c r="C208" s="40"/>
      <c r="D208" s="40"/>
      <c r="E208" s="40"/>
      <c r="F208" s="40"/>
      <c r="G208" s="40"/>
      <c r="H208" s="123"/>
      <c r="I208" s="123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ht="12.75">
      <c r="A209" s="40"/>
      <c r="B209" s="40"/>
      <c r="C209" s="40"/>
      <c r="D209" s="40"/>
      <c r="E209" s="40"/>
      <c r="F209" s="40"/>
      <c r="G209" s="40"/>
      <c r="H209" s="123"/>
      <c r="I209" s="123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2.75">
      <c r="A210" s="40"/>
      <c r="B210" s="40"/>
      <c r="C210" s="40"/>
      <c r="D210" s="40"/>
      <c r="E210" s="40"/>
      <c r="F210" s="40"/>
      <c r="G210" s="40"/>
      <c r="H210" s="123"/>
      <c r="I210" s="123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2.75">
      <c r="A211" s="40"/>
      <c r="B211" s="40"/>
      <c r="C211" s="40"/>
      <c r="D211" s="40"/>
      <c r="E211" s="40"/>
      <c r="F211" s="40"/>
      <c r="G211" s="40"/>
      <c r="H211" s="123"/>
      <c r="I211" s="123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2.75">
      <c r="A212" s="40"/>
      <c r="B212" s="40"/>
      <c r="C212" s="40"/>
      <c r="D212" s="40"/>
      <c r="E212" s="40"/>
      <c r="F212" s="40"/>
      <c r="G212" s="40"/>
      <c r="H212" s="123"/>
      <c r="I212" s="123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12.75">
      <c r="A213" s="40"/>
      <c r="B213" s="40"/>
      <c r="C213" s="40"/>
      <c r="D213" s="40"/>
      <c r="E213" s="40"/>
      <c r="F213" s="40"/>
      <c r="G213" s="40"/>
      <c r="H213" s="123"/>
      <c r="I213" s="123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12.75">
      <c r="A214" s="40"/>
      <c r="B214" s="40"/>
      <c r="C214" s="40"/>
      <c r="D214" s="40"/>
      <c r="E214" s="40"/>
      <c r="F214" s="40"/>
      <c r="G214" s="40"/>
      <c r="H214" s="123"/>
      <c r="I214" s="123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2.75">
      <c r="A215" s="40"/>
      <c r="B215" s="40"/>
      <c r="C215" s="40"/>
      <c r="D215" s="40"/>
      <c r="E215" s="40"/>
      <c r="F215" s="40"/>
      <c r="G215" s="40"/>
      <c r="H215" s="123"/>
      <c r="I215" s="123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2.75">
      <c r="A216" s="40"/>
      <c r="B216" s="40"/>
      <c r="C216" s="40"/>
      <c r="D216" s="40"/>
      <c r="E216" s="40"/>
      <c r="F216" s="40"/>
      <c r="G216" s="40"/>
      <c r="H216" s="123"/>
      <c r="I216" s="123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2.75">
      <c r="A217" s="40"/>
      <c r="B217" s="40"/>
      <c r="C217" s="40"/>
      <c r="D217" s="40"/>
      <c r="E217" s="40"/>
      <c r="F217" s="40"/>
      <c r="G217" s="40"/>
      <c r="H217" s="123"/>
      <c r="I217" s="123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2.75">
      <c r="A218" s="40"/>
      <c r="B218" s="40"/>
      <c r="C218" s="40"/>
      <c r="D218" s="40"/>
      <c r="E218" s="40"/>
      <c r="F218" s="40"/>
      <c r="G218" s="40"/>
      <c r="H218" s="123"/>
      <c r="I218" s="123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12.75">
      <c r="A219" s="40"/>
      <c r="B219" s="40"/>
      <c r="C219" s="40"/>
      <c r="D219" s="40"/>
      <c r="E219" s="40"/>
      <c r="F219" s="40"/>
      <c r="G219" s="40"/>
      <c r="H219" s="123"/>
      <c r="I219" s="123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12.75">
      <c r="A220" s="40"/>
      <c r="B220" s="40"/>
      <c r="C220" s="40"/>
      <c r="D220" s="40"/>
      <c r="E220" s="40"/>
      <c r="F220" s="40"/>
      <c r="G220" s="40"/>
      <c r="H220" s="123"/>
      <c r="I220" s="123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12.75">
      <c r="A221" s="40"/>
      <c r="B221" s="40"/>
      <c r="C221" s="40"/>
      <c r="D221" s="40"/>
      <c r="E221" s="40"/>
      <c r="F221" s="40"/>
      <c r="G221" s="40"/>
      <c r="H221" s="123"/>
      <c r="I221" s="123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12.75">
      <c r="A222" s="40"/>
      <c r="B222" s="40"/>
      <c r="C222" s="40"/>
      <c r="D222" s="40"/>
      <c r="E222" s="40"/>
      <c r="F222" s="40"/>
      <c r="G222" s="40"/>
      <c r="H222" s="123"/>
      <c r="I222" s="123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ht="12.75">
      <c r="A223" s="40"/>
      <c r="B223" s="40"/>
      <c r="C223" s="40"/>
      <c r="D223" s="40"/>
      <c r="E223" s="40"/>
      <c r="F223" s="40"/>
      <c r="G223" s="40"/>
      <c r="H223" s="123"/>
      <c r="I223" s="123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</sheetData>
  <mergeCells count="3">
    <mergeCell ref="D12:D13"/>
    <mergeCell ref="E12:E13"/>
    <mergeCell ref="G12:G13"/>
  </mergeCells>
  <printOptions/>
  <pageMargins left="0.984251968503937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98"/>
  <sheetViews>
    <sheetView workbookViewId="0" topLeftCell="A1">
      <selection activeCell="B15" sqref="B15"/>
    </sheetView>
  </sheetViews>
  <sheetFormatPr defaultColWidth="9.140625" defaultRowHeight="12.75"/>
  <cols>
    <col min="1" max="1" width="4.28125" style="22" customWidth="1"/>
    <col min="2" max="2" width="31.28125" style="22" customWidth="1"/>
    <col min="3" max="3" width="13.57421875" style="22" customWidth="1"/>
    <col min="4" max="4" width="31.57421875" style="352" customWidth="1"/>
    <col min="5" max="5" width="23.28125" style="352" customWidth="1"/>
    <col min="6" max="6" width="17.7109375" style="352" customWidth="1"/>
    <col min="7" max="7" width="18.421875" style="352" customWidth="1"/>
    <col min="8" max="8" width="13.140625" style="22" customWidth="1"/>
    <col min="9" max="9" width="16.00390625" style="22" customWidth="1"/>
    <col min="10" max="10" width="14.00390625" style="22" customWidth="1"/>
    <col min="11" max="11" width="9.140625" style="22" customWidth="1"/>
    <col min="12" max="12" width="14.57421875" style="22" customWidth="1"/>
    <col min="13" max="16384" width="9.140625" style="22" customWidth="1"/>
  </cols>
  <sheetData>
    <row r="1" spans="1:24" ht="18.75">
      <c r="A1" s="40"/>
      <c r="B1" s="40"/>
      <c r="C1" s="40"/>
      <c r="D1" s="164"/>
      <c r="E1" s="164"/>
      <c r="F1" s="164"/>
      <c r="G1" s="164"/>
      <c r="H1" s="40"/>
      <c r="I1" s="40"/>
      <c r="J1" s="122"/>
      <c r="K1" s="123"/>
      <c r="L1" s="123"/>
      <c r="M1" s="123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8.75">
      <c r="A2" s="40"/>
      <c r="B2" s="40"/>
      <c r="C2" s="40"/>
      <c r="D2" s="164"/>
      <c r="E2" s="164"/>
      <c r="F2" s="164"/>
      <c r="G2" s="164"/>
      <c r="H2" s="40"/>
      <c r="I2" s="40"/>
      <c r="J2" s="122"/>
      <c r="K2" s="123"/>
      <c r="L2" s="123"/>
      <c r="M2" s="123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8.75">
      <c r="A3" s="40"/>
      <c r="B3" s="40"/>
      <c r="C3" s="40"/>
      <c r="D3" s="164"/>
      <c r="E3" s="164"/>
      <c r="F3" s="164"/>
      <c r="G3" s="164"/>
      <c r="H3" s="40"/>
      <c r="I3" s="40"/>
      <c r="J3" s="122"/>
      <c r="K3" s="123"/>
      <c r="L3" s="123"/>
      <c r="M3" s="123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8.75">
      <c r="A4" s="40"/>
      <c r="B4" s="40"/>
      <c r="C4" s="40"/>
      <c r="D4" s="164"/>
      <c r="E4" s="164"/>
      <c r="F4" s="164"/>
      <c r="G4" s="164"/>
      <c r="H4" s="40"/>
      <c r="I4" s="40"/>
      <c r="J4" s="122"/>
      <c r="K4" s="123"/>
      <c r="L4" s="123"/>
      <c r="M4" s="12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8.75">
      <c r="A5" s="40"/>
      <c r="B5" s="40"/>
      <c r="C5" s="40"/>
      <c r="D5" s="164"/>
      <c r="E5" s="164"/>
      <c r="F5" s="164"/>
      <c r="G5" s="164"/>
      <c r="H5" s="40"/>
      <c r="I5" s="40"/>
      <c r="J5" s="122"/>
      <c r="K5" s="123"/>
      <c r="L5" s="123"/>
      <c r="M5" s="123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8.75">
      <c r="A6" s="40"/>
      <c r="B6" s="40"/>
      <c r="C6" s="40"/>
      <c r="D6" s="164"/>
      <c r="E6" s="164"/>
      <c r="F6" s="164"/>
      <c r="G6" s="164"/>
      <c r="H6" s="40"/>
      <c r="I6" s="40"/>
      <c r="J6" s="122"/>
      <c r="K6" s="123"/>
      <c r="L6" s="123"/>
      <c r="M6" s="123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8.75">
      <c r="A7" s="40"/>
      <c r="B7" s="40"/>
      <c r="C7" s="40"/>
      <c r="D7" s="164"/>
      <c r="E7" s="164"/>
      <c r="F7" s="164"/>
      <c r="G7" s="164"/>
      <c r="H7" s="40"/>
      <c r="I7" s="40"/>
      <c r="J7" s="122"/>
      <c r="K7" s="123"/>
      <c r="L7" s="123"/>
      <c r="M7" s="123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8.75">
      <c r="A8" s="40"/>
      <c r="B8" s="40"/>
      <c r="C8" s="40"/>
      <c r="D8" s="164"/>
      <c r="E8" s="164"/>
      <c r="F8" s="164"/>
      <c r="G8" s="164"/>
      <c r="H8" s="40"/>
      <c r="I8" s="40"/>
      <c r="J8" s="122"/>
      <c r="K8" s="123"/>
      <c r="L8" s="123"/>
      <c r="M8" s="123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8.75">
      <c r="A9" s="40"/>
      <c r="B9" s="40"/>
      <c r="C9" s="260"/>
      <c r="D9" s="353"/>
      <c r="E9" s="353"/>
      <c r="F9" s="164"/>
      <c r="G9" s="164"/>
      <c r="H9" s="40"/>
      <c r="I9" s="40"/>
      <c r="J9" s="122"/>
      <c r="K9" s="123"/>
      <c r="L9" s="123"/>
      <c r="M9" s="123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18.75">
      <c r="A10" s="40"/>
      <c r="B10" s="40"/>
      <c r="C10" s="40"/>
      <c r="D10" s="164"/>
      <c r="E10" s="164"/>
      <c r="F10" s="164"/>
      <c r="G10" s="164"/>
      <c r="H10" s="40"/>
      <c r="I10" s="40"/>
      <c r="J10" s="122"/>
      <c r="K10" s="123"/>
      <c r="L10" s="123"/>
      <c r="M10" s="123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ht="18.75">
      <c r="A11" s="40"/>
      <c r="B11" s="40"/>
      <c r="C11" s="40"/>
      <c r="D11" s="164"/>
      <c r="E11" s="164"/>
      <c r="F11" s="164"/>
      <c r="G11" s="164"/>
      <c r="H11" s="40"/>
      <c r="I11" s="40"/>
      <c r="J11" s="122"/>
      <c r="K11" s="123"/>
      <c r="L11" s="123"/>
      <c r="M11" s="123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ht="18.75">
      <c r="A12" s="40"/>
      <c r="B12" s="40"/>
      <c r="C12" s="40"/>
      <c r="D12" s="164"/>
      <c r="E12" s="164"/>
      <c r="F12" s="164"/>
      <c r="G12" s="164"/>
      <c r="H12" s="40"/>
      <c r="I12" s="40"/>
      <c r="J12" s="122"/>
      <c r="K12" s="123"/>
      <c r="L12" s="123"/>
      <c r="M12" s="123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ht="18.75">
      <c r="A13" s="40"/>
      <c r="B13" s="40"/>
      <c r="C13" s="40"/>
      <c r="D13" s="164"/>
      <c r="E13" s="164"/>
      <c r="F13" s="164"/>
      <c r="G13" s="164"/>
      <c r="H13" s="40"/>
      <c r="I13" s="40"/>
      <c r="J13" s="122"/>
      <c r="K13" s="123"/>
      <c r="L13" s="123"/>
      <c r="M13" s="123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ht="18.75">
      <c r="A14" s="40"/>
      <c r="B14" s="40"/>
      <c r="C14" s="260"/>
      <c r="D14" s="353"/>
      <c r="E14" s="353"/>
      <c r="F14" s="164"/>
      <c r="G14" s="164"/>
      <c r="H14" s="40"/>
      <c r="I14" s="40"/>
      <c r="J14" s="122"/>
      <c r="K14" s="123"/>
      <c r="L14" s="123"/>
      <c r="M14" s="123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24" ht="18.75">
      <c r="A15" s="40"/>
      <c r="B15" s="40"/>
      <c r="C15" s="40"/>
      <c r="D15" s="164"/>
      <c r="E15" s="164"/>
      <c r="F15" s="164"/>
      <c r="G15" s="164"/>
      <c r="H15" s="40"/>
      <c r="I15" s="40"/>
      <c r="J15" s="122"/>
      <c r="K15" s="123"/>
      <c r="L15" s="123"/>
      <c r="M15" s="123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ht="18.75">
      <c r="A16" s="40"/>
      <c r="B16" s="40"/>
      <c r="C16" s="40"/>
      <c r="D16" s="164"/>
      <c r="E16" s="164"/>
      <c r="F16" s="164"/>
      <c r="G16" s="164"/>
      <c r="H16" s="40"/>
      <c r="I16" s="40"/>
      <c r="J16" s="122"/>
      <c r="K16" s="123"/>
      <c r="L16" s="123"/>
      <c r="M16" s="123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18.75">
      <c r="A17" s="40"/>
      <c r="B17" s="40"/>
      <c r="C17" s="40"/>
      <c r="D17" s="164"/>
      <c r="E17" s="164"/>
      <c r="F17" s="164"/>
      <c r="G17" s="164"/>
      <c r="H17" s="40"/>
      <c r="I17" s="40"/>
      <c r="J17" s="122"/>
      <c r="K17" s="123"/>
      <c r="L17" s="123"/>
      <c r="M17" s="123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18.75">
      <c r="A18" s="40"/>
      <c r="B18" s="40"/>
      <c r="C18" s="40"/>
      <c r="D18" s="164"/>
      <c r="E18" s="164"/>
      <c r="F18" s="164"/>
      <c r="G18" s="164"/>
      <c r="H18" s="40"/>
      <c r="I18" s="40"/>
      <c r="J18" s="122"/>
      <c r="K18" s="123"/>
      <c r="L18" s="123"/>
      <c r="M18" s="12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18.75">
      <c r="A19" s="40"/>
      <c r="B19" s="40"/>
      <c r="C19" s="40"/>
      <c r="D19" s="164"/>
      <c r="E19" s="164"/>
      <c r="F19" s="164"/>
      <c r="G19" s="164"/>
      <c r="H19" s="40"/>
      <c r="I19" s="40"/>
      <c r="J19" s="122"/>
      <c r="K19" s="123"/>
      <c r="L19" s="123"/>
      <c r="M19" s="12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18.75">
      <c r="A20" s="40"/>
      <c r="B20" s="40"/>
      <c r="C20" s="40"/>
      <c r="D20" s="164"/>
      <c r="E20" s="164"/>
      <c r="F20" s="164"/>
      <c r="G20" s="164"/>
      <c r="H20" s="40"/>
      <c r="I20" s="40"/>
      <c r="J20" s="122"/>
      <c r="K20" s="123"/>
      <c r="L20" s="123"/>
      <c r="M20" s="12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18.75">
      <c r="A21" s="40"/>
      <c r="B21" s="40"/>
      <c r="C21" s="40"/>
      <c r="D21" s="164"/>
      <c r="E21" s="164"/>
      <c r="F21" s="164"/>
      <c r="G21" s="164"/>
      <c r="H21" s="40"/>
      <c r="I21" s="40"/>
      <c r="J21" s="122"/>
      <c r="K21" s="123"/>
      <c r="L21" s="123"/>
      <c r="M21" s="12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8.75">
      <c r="A22" s="40"/>
      <c r="B22" s="40"/>
      <c r="C22" s="40"/>
      <c r="D22" s="164"/>
      <c r="E22" s="164"/>
      <c r="F22" s="164"/>
      <c r="G22" s="164"/>
      <c r="H22" s="40"/>
      <c r="I22" s="40"/>
      <c r="J22" s="122"/>
      <c r="K22" s="123"/>
      <c r="L22" s="123"/>
      <c r="M22" s="12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ht="18.75">
      <c r="A23" s="40"/>
      <c r="B23" s="40"/>
      <c r="C23" s="40"/>
      <c r="D23" s="164"/>
      <c r="E23" s="164"/>
      <c r="F23" s="164"/>
      <c r="G23" s="164"/>
      <c r="H23" s="40"/>
      <c r="I23" s="40"/>
      <c r="J23" s="122"/>
      <c r="K23" s="123"/>
      <c r="L23" s="123"/>
      <c r="M23" s="123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18.75">
      <c r="A24" s="40"/>
      <c r="B24" s="40"/>
      <c r="C24" s="40"/>
      <c r="D24" s="164"/>
      <c r="E24" s="164"/>
      <c r="F24" s="164"/>
      <c r="G24" s="164"/>
      <c r="H24" s="40"/>
      <c r="I24" s="40"/>
      <c r="J24" s="122"/>
      <c r="K24" s="123"/>
      <c r="L24" s="123"/>
      <c r="M24" s="123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18.75">
      <c r="A25" s="40"/>
      <c r="B25" s="40"/>
      <c r="C25" s="40"/>
      <c r="D25" s="164"/>
      <c r="E25" s="164"/>
      <c r="F25" s="164"/>
      <c r="G25" s="164"/>
      <c r="H25" s="40"/>
      <c r="I25" s="40"/>
      <c r="J25" s="122"/>
      <c r="K25" s="123"/>
      <c r="L25" s="123"/>
      <c r="M25" s="12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18.75">
      <c r="A26" s="40"/>
      <c r="B26" s="40"/>
      <c r="C26" s="40"/>
      <c r="D26" s="164"/>
      <c r="E26" s="164"/>
      <c r="F26" s="164"/>
      <c r="G26" s="164"/>
      <c r="H26" s="40"/>
      <c r="I26" s="40"/>
      <c r="J26" s="122"/>
      <c r="K26" s="123"/>
      <c r="L26" s="123"/>
      <c r="M26" s="123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ht="18.75">
      <c r="A27" s="40"/>
      <c r="B27" s="40"/>
      <c r="C27" s="40"/>
      <c r="D27" s="164"/>
      <c r="E27" s="164"/>
      <c r="F27" s="164"/>
      <c r="G27" s="164"/>
      <c r="H27" s="40"/>
      <c r="I27" s="40"/>
      <c r="J27" s="122"/>
      <c r="K27" s="123"/>
      <c r="L27" s="123"/>
      <c r="M27" s="123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ht="18.75">
      <c r="A28" s="40"/>
      <c r="B28" s="40"/>
      <c r="C28" s="40"/>
      <c r="D28" s="164"/>
      <c r="E28" s="164"/>
      <c r="F28" s="164"/>
      <c r="G28" s="164"/>
      <c r="H28" s="40"/>
      <c r="I28" s="40"/>
      <c r="J28" s="122"/>
      <c r="K28" s="123"/>
      <c r="L28" s="123"/>
      <c r="M28" s="123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ht="18.75">
      <c r="A29" s="40"/>
      <c r="B29" s="40"/>
      <c r="C29" s="40"/>
      <c r="D29" s="164"/>
      <c r="E29" s="164"/>
      <c r="F29" s="164"/>
      <c r="G29" s="164"/>
      <c r="H29" s="40"/>
      <c r="I29" s="40"/>
      <c r="J29" s="122"/>
      <c r="K29" s="123"/>
      <c r="L29" s="123"/>
      <c r="M29" s="123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ht="18.75">
      <c r="A30" s="40"/>
      <c r="B30" s="40"/>
      <c r="C30" s="40"/>
      <c r="D30" s="164"/>
      <c r="E30" s="164"/>
      <c r="F30" s="164"/>
      <c r="G30" s="164"/>
      <c r="H30" s="40"/>
      <c r="I30" s="40"/>
      <c r="J30" s="122"/>
      <c r="K30" s="123"/>
      <c r="L30" s="123"/>
      <c r="M30" s="123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ht="18.75">
      <c r="A31" s="40"/>
      <c r="B31" s="40"/>
      <c r="C31" s="40"/>
      <c r="D31" s="164"/>
      <c r="E31" s="164"/>
      <c r="F31" s="164"/>
      <c r="G31" s="164"/>
      <c r="H31" s="40"/>
      <c r="I31" s="40"/>
      <c r="J31" s="122"/>
      <c r="K31" s="123"/>
      <c r="L31" s="123"/>
      <c r="M31" s="123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ht="18.75">
      <c r="A32" s="40"/>
      <c r="B32" s="40"/>
      <c r="C32" s="40"/>
      <c r="D32" s="164"/>
      <c r="E32" s="164"/>
      <c r="F32" s="164"/>
      <c r="G32" s="164"/>
      <c r="H32" s="40"/>
      <c r="I32" s="40"/>
      <c r="J32" s="122"/>
      <c r="K32" s="123"/>
      <c r="L32" s="123"/>
      <c r="M32" s="123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1:24" ht="18.75">
      <c r="A33" s="40"/>
      <c r="B33" s="40"/>
      <c r="C33" s="40"/>
      <c r="D33" s="164"/>
      <c r="E33" s="164"/>
      <c r="F33" s="164"/>
      <c r="G33" s="164"/>
      <c r="H33" s="40"/>
      <c r="I33" s="40"/>
      <c r="J33" s="122"/>
      <c r="K33" s="123"/>
      <c r="L33" s="123"/>
      <c r="M33" s="12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</row>
    <row r="34" spans="1:24" ht="18.75">
      <c r="A34" s="40"/>
      <c r="B34" s="40"/>
      <c r="C34" s="40"/>
      <c r="D34" s="164"/>
      <c r="E34" s="164"/>
      <c r="F34" s="164"/>
      <c r="G34" s="164"/>
      <c r="H34" s="40"/>
      <c r="I34" s="40"/>
      <c r="J34" s="122"/>
      <c r="K34" s="123"/>
      <c r="L34" s="123"/>
      <c r="M34" s="123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</row>
    <row r="35" spans="1:24" ht="18.75">
      <c r="A35" s="40"/>
      <c r="B35" s="40"/>
      <c r="C35" s="40"/>
      <c r="D35" s="164"/>
      <c r="E35" s="164"/>
      <c r="F35" s="164"/>
      <c r="G35" s="164"/>
      <c r="H35" s="40"/>
      <c r="I35" s="40"/>
      <c r="J35" s="122"/>
      <c r="K35" s="123"/>
      <c r="L35" s="123"/>
      <c r="M35" s="123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</row>
    <row r="36" spans="1:24" ht="18.75">
      <c r="A36" s="40"/>
      <c r="B36" s="40"/>
      <c r="C36" s="40"/>
      <c r="D36" s="164"/>
      <c r="E36" s="164"/>
      <c r="F36" s="164"/>
      <c r="G36" s="164"/>
      <c r="H36" s="40"/>
      <c r="I36" s="40"/>
      <c r="J36" s="122"/>
      <c r="K36" s="123"/>
      <c r="L36" s="123"/>
      <c r="M36" s="123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</row>
    <row r="37" spans="1:24" ht="18.75">
      <c r="A37" s="40"/>
      <c r="B37" s="40"/>
      <c r="C37" s="40"/>
      <c r="D37" s="164"/>
      <c r="E37" s="164"/>
      <c r="F37" s="164"/>
      <c r="G37" s="164"/>
      <c r="H37" s="40"/>
      <c r="I37" s="40"/>
      <c r="J37" s="122"/>
      <c r="K37" s="123"/>
      <c r="L37" s="123"/>
      <c r="M37" s="123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</row>
    <row r="38" spans="1:24" ht="18.75">
      <c r="A38" s="40"/>
      <c r="B38" s="40"/>
      <c r="C38" s="40"/>
      <c r="D38" s="164"/>
      <c r="E38" s="164"/>
      <c r="F38" s="164"/>
      <c r="G38" s="164"/>
      <c r="H38" s="40"/>
      <c r="I38" s="40"/>
      <c r="J38" s="122"/>
      <c r="K38" s="123"/>
      <c r="L38" s="123"/>
      <c r="M38" s="123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</row>
    <row r="39" spans="1:24" ht="18.75">
      <c r="A39" s="40"/>
      <c r="B39" s="40"/>
      <c r="C39" s="40"/>
      <c r="D39" s="164"/>
      <c r="E39" s="164"/>
      <c r="F39" s="164"/>
      <c r="G39" s="164"/>
      <c r="H39" s="40"/>
      <c r="I39" s="40"/>
      <c r="J39" s="122"/>
      <c r="K39" s="123"/>
      <c r="L39" s="123"/>
      <c r="M39" s="12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8.75">
      <c r="A40" s="40"/>
      <c r="B40" s="40"/>
      <c r="C40" s="40"/>
      <c r="D40" s="164"/>
      <c r="E40" s="164"/>
      <c r="F40" s="164"/>
      <c r="G40" s="164"/>
      <c r="H40" s="40"/>
      <c r="I40" s="40"/>
      <c r="J40" s="122"/>
      <c r="K40" s="123"/>
      <c r="L40" s="123"/>
      <c r="M40" s="123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</row>
    <row r="41" spans="1:24" ht="18.75">
      <c r="A41" s="40"/>
      <c r="B41" s="40"/>
      <c r="C41" s="40"/>
      <c r="D41" s="164"/>
      <c r="E41" s="164"/>
      <c r="F41" s="164"/>
      <c r="G41" s="164"/>
      <c r="H41" s="40"/>
      <c r="I41" s="40"/>
      <c r="J41" s="122"/>
      <c r="K41" s="123"/>
      <c r="L41" s="123"/>
      <c r="M41" s="123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</row>
    <row r="42" spans="1:24" ht="18.75">
      <c r="A42" s="40"/>
      <c r="B42" s="40"/>
      <c r="C42" s="40"/>
      <c r="D42" s="164"/>
      <c r="E42" s="164"/>
      <c r="F42" s="164"/>
      <c r="G42" s="164"/>
      <c r="H42" s="40"/>
      <c r="I42" s="40"/>
      <c r="J42" s="122"/>
      <c r="K42" s="123"/>
      <c r="L42" s="123"/>
      <c r="M42" s="123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</row>
    <row r="43" spans="1:24" ht="18.75">
      <c r="A43" s="40"/>
      <c r="B43" s="40"/>
      <c r="C43" s="40"/>
      <c r="D43" s="164"/>
      <c r="E43" s="164"/>
      <c r="F43" s="164"/>
      <c r="G43" s="164"/>
      <c r="H43" s="40"/>
      <c r="I43" s="40"/>
      <c r="J43" s="122"/>
      <c r="K43" s="123"/>
      <c r="L43" s="123"/>
      <c r="M43" s="12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8.75">
      <c r="A44" s="40"/>
      <c r="B44" s="40"/>
      <c r="C44" s="40"/>
      <c r="D44" s="164"/>
      <c r="E44" s="164"/>
      <c r="F44" s="164"/>
      <c r="G44" s="164"/>
      <c r="H44" s="40"/>
      <c r="I44" s="40"/>
      <c r="J44" s="122"/>
      <c r="K44" s="123"/>
      <c r="L44" s="123"/>
      <c r="M44" s="12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8.75">
      <c r="A45" s="40"/>
      <c r="B45" s="40"/>
      <c r="C45" s="40"/>
      <c r="D45" s="164"/>
      <c r="E45" s="164"/>
      <c r="F45" s="164"/>
      <c r="G45" s="164"/>
      <c r="H45" s="40"/>
      <c r="I45" s="40"/>
      <c r="J45" s="122"/>
      <c r="K45" s="123"/>
      <c r="L45" s="123"/>
      <c r="M45" s="12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8.75">
      <c r="A46" s="40"/>
      <c r="B46" s="40"/>
      <c r="C46" s="40"/>
      <c r="D46" s="164"/>
      <c r="E46" s="164"/>
      <c r="F46" s="164"/>
      <c r="G46" s="164"/>
      <c r="H46" s="40"/>
      <c r="I46" s="40"/>
      <c r="J46" s="122"/>
      <c r="K46" s="123"/>
      <c r="L46" s="123"/>
      <c r="M46" s="123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8.75">
      <c r="A47" s="40"/>
      <c r="B47" s="40"/>
      <c r="C47" s="40"/>
      <c r="D47" s="164"/>
      <c r="E47" s="164"/>
      <c r="F47" s="164"/>
      <c r="G47" s="164"/>
      <c r="H47" s="40"/>
      <c r="I47" s="40"/>
      <c r="J47" s="122"/>
      <c r="K47" s="123"/>
      <c r="L47" s="123"/>
      <c r="M47" s="12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</row>
    <row r="48" spans="1:24" ht="18.75">
      <c r="A48" s="40"/>
      <c r="B48" s="40"/>
      <c r="C48" s="40"/>
      <c r="D48" s="164"/>
      <c r="E48" s="164"/>
      <c r="F48" s="164"/>
      <c r="G48" s="164"/>
      <c r="H48" s="40"/>
      <c r="I48" s="40"/>
      <c r="J48" s="122"/>
      <c r="K48" s="123"/>
      <c r="L48" s="123"/>
      <c r="M48" s="123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24" ht="18.75">
      <c r="A49" s="40"/>
      <c r="B49" s="40"/>
      <c r="C49" s="40"/>
      <c r="D49" s="164"/>
      <c r="E49" s="164"/>
      <c r="F49" s="164"/>
      <c r="G49" s="164"/>
      <c r="H49" s="40"/>
      <c r="I49" s="40"/>
      <c r="J49" s="122"/>
      <c r="K49" s="123"/>
      <c r="L49" s="123"/>
      <c r="M49" s="12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8.75">
      <c r="A50" s="40"/>
      <c r="B50" s="40"/>
      <c r="C50" s="40"/>
      <c r="D50" s="164"/>
      <c r="E50" s="164"/>
      <c r="F50" s="164"/>
      <c r="G50" s="164"/>
      <c r="H50" s="40"/>
      <c r="I50" s="40"/>
      <c r="J50" s="122"/>
      <c r="K50" s="123"/>
      <c r="L50" s="123"/>
      <c r="M50" s="123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8.75">
      <c r="A51" s="40"/>
      <c r="B51" s="40"/>
      <c r="C51" s="40"/>
      <c r="D51" s="164"/>
      <c r="E51" s="164"/>
      <c r="F51" s="164"/>
      <c r="G51" s="164"/>
      <c r="H51" s="40"/>
      <c r="I51" s="40"/>
      <c r="J51" s="122"/>
      <c r="K51" s="123"/>
      <c r="L51" s="123"/>
      <c r="M51" s="123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8.75">
      <c r="A52" s="40"/>
      <c r="B52" s="40"/>
      <c r="C52" s="40"/>
      <c r="D52" s="164"/>
      <c r="E52" s="164"/>
      <c r="F52" s="164"/>
      <c r="G52" s="164"/>
      <c r="H52" s="40"/>
      <c r="I52" s="40"/>
      <c r="J52" s="122"/>
      <c r="K52" s="123"/>
      <c r="L52" s="123"/>
      <c r="M52" s="123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ht="18.75">
      <c r="A53" s="40"/>
      <c r="B53" s="40"/>
      <c r="C53" s="40"/>
      <c r="D53" s="164"/>
      <c r="E53" s="164"/>
      <c r="F53" s="164"/>
      <c r="G53" s="164"/>
      <c r="H53" s="40"/>
      <c r="I53" s="40"/>
      <c r="J53" s="122"/>
      <c r="K53" s="123"/>
      <c r="L53" s="123"/>
      <c r="M53" s="12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18.75">
      <c r="A54" s="40"/>
      <c r="B54" s="40"/>
      <c r="C54" s="40"/>
      <c r="D54" s="164"/>
      <c r="E54" s="164"/>
      <c r="F54" s="164"/>
      <c r="G54" s="164"/>
      <c r="H54" s="40"/>
      <c r="I54" s="40"/>
      <c r="J54" s="122"/>
      <c r="K54" s="123"/>
      <c r="L54" s="123"/>
      <c r="M54" s="123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ht="18.75">
      <c r="A55" s="40"/>
      <c r="B55" s="40"/>
      <c r="C55" s="40"/>
      <c r="D55" s="164"/>
      <c r="E55" s="164"/>
      <c r="F55" s="164"/>
      <c r="G55" s="164"/>
      <c r="H55" s="40"/>
      <c r="I55" s="40"/>
      <c r="J55" s="122"/>
      <c r="K55" s="123"/>
      <c r="L55" s="123"/>
      <c r="M55" s="12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</row>
    <row r="56" spans="1:24" ht="18.75">
      <c r="A56" s="40"/>
      <c r="B56" s="40"/>
      <c r="C56" s="40"/>
      <c r="D56" s="164"/>
      <c r="E56" s="164"/>
      <c r="F56" s="164"/>
      <c r="G56" s="164"/>
      <c r="H56" s="40"/>
      <c r="I56" s="40"/>
      <c r="J56" s="122"/>
      <c r="K56" s="123"/>
      <c r="L56" s="123"/>
      <c r="M56" s="123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ht="18.75">
      <c r="A57" s="40"/>
      <c r="B57" s="40"/>
      <c r="C57" s="40"/>
      <c r="D57" s="164"/>
      <c r="E57" s="164"/>
      <c r="F57" s="164"/>
      <c r="G57" s="164"/>
      <c r="H57" s="40"/>
      <c r="I57" s="40"/>
      <c r="J57" s="122"/>
      <c r="K57" s="123"/>
      <c r="L57" s="123"/>
      <c r="M57" s="123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ht="18.75">
      <c r="A58" s="40"/>
      <c r="B58" s="40"/>
      <c r="C58" s="40"/>
      <c r="D58" s="164"/>
      <c r="E58" s="164"/>
      <c r="F58" s="164"/>
      <c r="G58" s="164"/>
      <c r="H58" s="40"/>
      <c r="I58" s="40"/>
      <c r="J58" s="122"/>
      <c r="K58" s="123"/>
      <c r="L58" s="123"/>
      <c r="M58" s="12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18.75">
      <c r="A59" s="40"/>
      <c r="B59" s="40"/>
      <c r="C59" s="40"/>
      <c r="D59" s="164"/>
      <c r="E59" s="164"/>
      <c r="F59" s="164"/>
      <c r="G59" s="164"/>
      <c r="H59" s="40"/>
      <c r="I59" s="40"/>
      <c r="J59" s="122"/>
      <c r="K59" s="123"/>
      <c r="L59" s="123"/>
      <c r="M59" s="123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ht="18.75">
      <c r="A60" s="40"/>
      <c r="B60" s="40"/>
      <c r="C60" s="40"/>
      <c r="D60" s="164"/>
      <c r="E60" s="164"/>
      <c r="F60" s="164"/>
      <c r="G60" s="164"/>
      <c r="H60" s="40"/>
      <c r="I60" s="40"/>
      <c r="J60" s="122"/>
      <c r="K60" s="123"/>
      <c r="L60" s="123"/>
      <c r="M60" s="123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ht="18.75">
      <c r="A61" s="40"/>
      <c r="B61" s="40"/>
      <c r="C61" s="40"/>
      <c r="D61" s="164"/>
      <c r="E61" s="164"/>
      <c r="F61" s="164"/>
      <c r="G61" s="164"/>
      <c r="H61" s="40"/>
      <c r="I61" s="40"/>
      <c r="J61" s="122"/>
      <c r="K61" s="123"/>
      <c r="L61" s="123"/>
      <c r="M61" s="123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ht="18.75">
      <c r="A62" s="40"/>
      <c r="B62" s="40"/>
      <c r="C62" s="40"/>
      <c r="D62" s="164"/>
      <c r="E62" s="164"/>
      <c r="F62" s="164"/>
      <c r="G62" s="164"/>
      <c r="H62" s="40"/>
      <c r="I62" s="40"/>
      <c r="J62" s="122"/>
      <c r="K62" s="123"/>
      <c r="L62" s="123"/>
      <c r="M62" s="123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24" ht="18.75">
      <c r="A63" s="40"/>
      <c r="B63" s="40"/>
      <c r="C63" s="40"/>
      <c r="D63" s="164"/>
      <c r="E63" s="164"/>
      <c r="F63" s="164"/>
      <c r="G63" s="164"/>
      <c r="H63" s="40"/>
      <c r="I63" s="40"/>
      <c r="J63" s="122"/>
      <c r="K63" s="123"/>
      <c r="L63" s="123"/>
      <c r="M63" s="123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ht="18.75">
      <c r="A64" s="40"/>
      <c r="B64" s="40"/>
      <c r="C64" s="40"/>
      <c r="D64" s="164"/>
      <c r="E64" s="164"/>
      <c r="F64" s="164"/>
      <c r="G64" s="164"/>
      <c r="H64" s="40"/>
      <c r="I64" s="40"/>
      <c r="J64" s="122"/>
      <c r="K64" s="123"/>
      <c r="L64" s="123"/>
      <c r="M64" s="123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ht="18.75">
      <c r="A65" s="40"/>
      <c r="B65" s="40"/>
      <c r="C65" s="40"/>
      <c r="D65" s="164"/>
      <c r="E65" s="164"/>
      <c r="F65" s="164"/>
      <c r="G65" s="164"/>
      <c r="H65" s="40"/>
      <c r="I65" s="40"/>
      <c r="J65" s="122"/>
      <c r="K65" s="123"/>
      <c r="L65" s="123"/>
      <c r="M65" s="123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24" ht="18.75">
      <c r="A66" s="40"/>
      <c r="B66" s="40"/>
      <c r="C66" s="40"/>
      <c r="D66" s="164"/>
      <c r="E66" s="164"/>
      <c r="F66" s="164"/>
      <c r="G66" s="164"/>
      <c r="H66" s="40"/>
      <c r="I66" s="40"/>
      <c r="J66" s="122"/>
      <c r="K66" s="123"/>
      <c r="L66" s="123"/>
      <c r="M66" s="123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</row>
    <row r="67" spans="1:24" ht="18.75">
      <c r="A67" s="40"/>
      <c r="B67" s="40"/>
      <c r="C67" s="40"/>
      <c r="D67" s="164"/>
      <c r="E67" s="164"/>
      <c r="F67" s="164"/>
      <c r="G67" s="164"/>
      <c r="H67" s="40"/>
      <c r="I67" s="40"/>
      <c r="J67" s="122"/>
      <c r="K67" s="123"/>
      <c r="L67" s="123"/>
      <c r="M67" s="123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1:24" ht="18.75">
      <c r="A68" s="40"/>
      <c r="B68" s="40"/>
      <c r="C68" s="40"/>
      <c r="D68" s="164"/>
      <c r="E68" s="164"/>
      <c r="F68" s="164"/>
      <c r="G68" s="164"/>
      <c r="H68" s="40"/>
      <c r="I68" s="40"/>
      <c r="J68" s="122"/>
      <c r="K68" s="123"/>
      <c r="L68" s="123"/>
      <c r="M68" s="123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18.75">
      <c r="A69" s="40"/>
      <c r="B69" s="40"/>
      <c r="C69" s="40"/>
      <c r="D69" s="164"/>
      <c r="E69" s="164"/>
      <c r="F69" s="164"/>
      <c r="G69" s="164"/>
      <c r="H69" s="40"/>
      <c r="I69" s="40"/>
      <c r="J69" s="122"/>
      <c r="K69" s="123"/>
      <c r="L69" s="123"/>
      <c r="M69" s="123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ht="18.75">
      <c r="A70" s="40"/>
      <c r="B70" s="40"/>
      <c r="C70" s="40"/>
      <c r="D70" s="164"/>
      <c r="E70" s="164"/>
      <c r="F70" s="164"/>
      <c r="G70" s="164"/>
      <c r="H70" s="40"/>
      <c r="I70" s="40"/>
      <c r="J70" s="122"/>
      <c r="K70" s="123"/>
      <c r="L70" s="123"/>
      <c r="M70" s="123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ht="18.75">
      <c r="A71" s="40"/>
      <c r="B71" s="40"/>
      <c r="C71" s="40"/>
      <c r="D71" s="164"/>
      <c r="E71" s="164"/>
      <c r="F71" s="164"/>
      <c r="G71" s="164"/>
      <c r="H71" s="40"/>
      <c r="I71" s="40"/>
      <c r="J71" s="122"/>
      <c r="K71" s="123"/>
      <c r="L71" s="123"/>
      <c r="M71" s="123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18.75">
      <c r="A72" s="40"/>
      <c r="B72" s="40"/>
      <c r="C72" s="40"/>
      <c r="D72" s="164"/>
      <c r="E72" s="164"/>
      <c r="F72" s="164"/>
      <c r="G72" s="164"/>
      <c r="H72" s="40"/>
      <c r="I72" s="40"/>
      <c r="J72" s="122"/>
      <c r="K72" s="123"/>
      <c r="L72" s="123"/>
      <c r="M72" s="123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18.75">
      <c r="A73" s="40"/>
      <c r="B73" s="40"/>
      <c r="C73" s="40"/>
      <c r="D73" s="164"/>
      <c r="E73" s="164"/>
      <c r="F73" s="164"/>
      <c r="G73" s="164"/>
      <c r="H73" s="40"/>
      <c r="I73" s="40"/>
      <c r="J73" s="122"/>
      <c r="K73" s="123"/>
      <c r="L73" s="123"/>
      <c r="M73" s="123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8.75">
      <c r="A74" s="40"/>
      <c r="B74" s="40"/>
      <c r="C74" s="40"/>
      <c r="D74" s="164"/>
      <c r="E74" s="164"/>
      <c r="F74" s="164"/>
      <c r="G74" s="164"/>
      <c r="H74" s="40"/>
      <c r="I74" s="40"/>
      <c r="J74" s="122"/>
      <c r="K74" s="123"/>
      <c r="L74" s="123"/>
      <c r="M74" s="123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ht="18.75">
      <c r="A75" s="40"/>
      <c r="B75" s="40"/>
      <c r="C75" s="40"/>
      <c r="D75" s="164"/>
      <c r="E75" s="164"/>
      <c r="F75" s="164"/>
      <c r="G75" s="164"/>
      <c r="H75" s="40"/>
      <c r="I75" s="40"/>
      <c r="J75" s="122"/>
      <c r="K75" s="123"/>
      <c r="L75" s="123"/>
      <c r="M75" s="123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ht="18.75">
      <c r="A76" s="40"/>
      <c r="B76" s="40"/>
      <c r="C76" s="40"/>
      <c r="D76" s="164"/>
      <c r="E76" s="164"/>
      <c r="F76" s="164"/>
      <c r="G76" s="164"/>
      <c r="H76" s="40"/>
      <c r="I76" s="40"/>
      <c r="J76" s="122"/>
      <c r="K76" s="123"/>
      <c r="L76" s="123"/>
      <c r="M76" s="123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ht="18.75">
      <c r="A77" s="40"/>
      <c r="B77" s="40"/>
      <c r="C77" s="40"/>
      <c r="D77" s="164"/>
      <c r="E77" s="164"/>
      <c r="F77" s="164"/>
      <c r="G77" s="164"/>
      <c r="H77" s="40"/>
      <c r="I77" s="40"/>
      <c r="J77" s="122"/>
      <c r="K77" s="123"/>
      <c r="L77" s="123"/>
      <c r="M77" s="123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18.75">
      <c r="A78" s="40"/>
      <c r="B78" s="40"/>
      <c r="C78" s="40"/>
      <c r="D78" s="164"/>
      <c r="E78" s="164"/>
      <c r="F78" s="164"/>
      <c r="G78" s="164"/>
      <c r="H78" s="40"/>
      <c r="I78" s="40"/>
      <c r="J78" s="122"/>
      <c r="K78" s="123"/>
      <c r="L78" s="123"/>
      <c r="M78" s="123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8.75">
      <c r="A79" s="40"/>
      <c r="B79" s="40"/>
      <c r="C79" s="40"/>
      <c r="D79" s="164"/>
      <c r="E79" s="164"/>
      <c r="F79" s="164"/>
      <c r="G79" s="164"/>
      <c r="H79" s="40"/>
      <c r="I79" s="40"/>
      <c r="J79" s="122"/>
      <c r="K79" s="123"/>
      <c r="L79" s="123"/>
      <c r="M79" s="123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ht="18.75">
      <c r="A80" s="40"/>
      <c r="B80" s="40"/>
      <c r="C80" s="40"/>
      <c r="D80" s="164"/>
      <c r="E80" s="164"/>
      <c r="F80" s="164"/>
      <c r="G80" s="164"/>
      <c r="H80" s="40"/>
      <c r="I80" s="40"/>
      <c r="J80" s="122"/>
      <c r="K80" s="123"/>
      <c r="L80" s="123"/>
      <c r="M80" s="123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ht="18.75">
      <c r="A81" s="40"/>
      <c r="B81" s="40"/>
      <c r="C81" s="40"/>
      <c r="D81" s="164"/>
      <c r="E81" s="164"/>
      <c r="F81" s="164"/>
      <c r="G81" s="164"/>
      <c r="H81" s="40"/>
      <c r="I81" s="40"/>
      <c r="J81" s="122"/>
      <c r="K81" s="123"/>
      <c r="L81" s="123"/>
      <c r="M81" s="123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ht="18.75">
      <c r="A82" s="40"/>
      <c r="B82" s="40"/>
      <c r="C82" s="40"/>
      <c r="D82" s="164"/>
      <c r="E82" s="164"/>
      <c r="F82" s="164"/>
      <c r="G82" s="164"/>
      <c r="H82" s="40"/>
      <c r="I82" s="40"/>
      <c r="J82" s="122"/>
      <c r="K82" s="123"/>
      <c r="L82" s="123"/>
      <c r="M82" s="123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ht="18.75">
      <c r="A83" s="40"/>
      <c r="B83" s="40"/>
      <c r="C83" s="40"/>
      <c r="D83" s="164"/>
      <c r="E83" s="164"/>
      <c r="F83" s="164"/>
      <c r="G83" s="164"/>
      <c r="H83" s="40"/>
      <c r="I83" s="40"/>
      <c r="J83" s="122"/>
      <c r="K83" s="123"/>
      <c r="L83" s="123"/>
      <c r="M83" s="123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ht="18.75">
      <c r="A84" s="40"/>
      <c r="B84" s="40"/>
      <c r="C84" s="40"/>
      <c r="D84" s="164"/>
      <c r="E84" s="164"/>
      <c r="F84" s="164"/>
      <c r="G84" s="164"/>
      <c r="H84" s="40"/>
      <c r="I84" s="40"/>
      <c r="J84" s="122"/>
      <c r="K84" s="123"/>
      <c r="L84" s="123"/>
      <c r="M84" s="123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ht="18.75">
      <c r="A85" s="40"/>
      <c r="B85" s="40"/>
      <c r="C85" s="40"/>
      <c r="D85" s="164"/>
      <c r="E85" s="164"/>
      <c r="F85" s="164"/>
      <c r="G85" s="164"/>
      <c r="H85" s="40"/>
      <c r="I85" s="40"/>
      <c r="J85" s="122"/>
      <c r="K85" s="123"/>
      <c r="L85" s="123"/>
      <c r="M85" s="123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ht="18.75">
      <c r="A86" s="40"/>
      <c r="B86" s="40"/>
      <c r="C86" s="40"/>
      <c r="D86" s="164"/>
      <c r="E86" s="164"/>
      <c r="F86" s="164"/>
      <c r="G86" s="164"/>
      <c r="H86" s="40"/>
      <c r="I86" s="40"/>
      <c r="J86" s="122"/>
      <c r="K86" s="123"/>
      <c r="L86" s="123"/>
      <c r="M86" s="123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ht="18.75">
      <c r="A87" s="40"/>
      <c r="B87" s="40"/>
      <c r="C87" s="40"/>
      <c r="D87" s="164"/>
      <c r="E87" s="164"/>
      <c r="F87" s="164"/>
      <c r="G87" s="164"/>
      <c r="H87" s="40"/>
      <c r="I87" s="40"/>
      <c r="J87" s="122"/>
      <c r="K87" s="123"/>
      <c r="L87" s="123"/>
      <c r="M87" s="123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ht="18.75">
      <c r="A88" s="40"/>
      <c r="B88" s="40"/>
      <c r="C88" s="40"/>
      <c r="D88" s="164"/>
      <c r="E88" s="164"/>
      <c r="F88" s="164"/>
      <c r="G88" s="164"/>
      <c r="H88" s="40"/>
      <c r="I88" s="40"/>
      <c r="J88" s="122"/>
      <c r="K88" s="123"/>
      <c r="L88" s="123"/>
      <c r="M88" s="123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ht="18.75">
      <c r="A89" s="40"/>
      <c r="B89" s="40"/>
      <c r="C89" s="40"/>
      <c r="D89" s="164"/>
      <c r="E89" s="164"/>
      <c r="F89" s="164"/>
      <c r="G89" s="164"/>
      <c r="H89" s="40"/>
      <c r="I89" s="40"/>
      <c r="J89" s="122"/>
      <c r="K89" s="123"/>
      <c r="L89" s="123"/>
      <c r="M89" s="123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8.75">
      <c r="A90" s="40"/>
      <c r="B90" s="40"/>
      <c r="C90" s="40"/>
      <c r="D90" s="164"/>
      <c r="E90" s="164"/>
      <c r="F90" s="164"/>
      <c r="G90" s="164"/>
      <c r="H90" s="40"/>
      <c r="I90" s="40"/>
      <c r="J90" s="122"/>
      <c r="K90" s="123"/>
      <c r="L90" s="123"/>
      <c r="M90" s="123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ht="18.75">
      <c r="A91" s="40"/>
      <c r="B91" s="40"/>
      <c r="C91" s="40"/>
      <c r="D91" s="164"/>
      <c r="E91" s="164"/>
      <c r="F91" s="164"/>
      <c r="G91" s="164"/>
      <c r="H91" s="40"/>
      <c r="I91" s="40"/>
      <c r="J91" s="122"/>
      <c r="K91" s="123"/>
      <c r="L91" s="123"/>
      <c r="M91" s="123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ht="18.75">
      <c r="A92" s="40"/>
      <c r="B92" s="40"/>
      <c r="C92" s="40"/>
      <c r="D92" s="164"/>
      <c r="E92" s="164"/>
      <c r="F92" s="164"/>
      <c r="G92" s="164"/>
      <c r="H92" s="40"/>
      <c r="I92" s="40"/>
      <c r="J92" s="122"/>
      <c r="K92" s="123"/>
      <c r="L92" s="123"/>
      <c r="M92" s="123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18.75">
      <c r="A93" s="40"/>
      <c r="B93" s="40"/>
      <c r="C93" s="40"/>
      <c r="D93" s="164"/>
      <c r="E93" s="164"/>
      <c r="F93" s="164"/>
      <c r="G93" s="164"/>
      <c r="H93" s="40"/>
      <c r="I93" s="40"/>
      <c r="J93" s="122"/>
      <c r="K93" s="123"/>
      <c r="L93" s="123"/>
      <c r="M93" s="123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18.75">
      <c r="A94" s="40"/>
      <c r="B94" s="40"/>
      <c r="C94" s="40"/>
      <c r="D94" s="164"/>
      <c r="E94" s="164"/>
      <c r="F94" s="164"/>
      <c r="G94" s="164"/>
      <c r="H94" s="40"/>
      <c r="I94" s="40"/>
      <c r="J94" s="122"/>
      <c r="K94" s="123"/>
      <c r="L94" s="123"/>
      <c r="M94" s="123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ht="18.75">
      <c r="A95" s="40"/>
      <c r="B95" s="40"/>
      <c r="C95" s="40"/>
      <c r="D95" s="164"/>
      <c r="E95" s="164"/>
      <c r="F95" s="164"/>
      <c r="G95" s="164"/>
      <c r="H95" s="40"/>
      <c r="I95" s="40"/>
      <c r="J95" s="122"/>
      <c r="K95" s="123"/>
      <c r="L95" s="123"/>
      <c r="M95" s="123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ht="18.75">
      <c r="A96" s="40"/>
      <c r="B96" s="40"/>
      <c r="C96" s="40"/>
      <c r="D96" s="164"/>
      <c r="E96" s="164"/>
      <c r="F96" s="164"/>
      <c r="G96" s="164"/>
      <c r="H96" s="40"/>
      <c r="I96" s="40"/>
      <c r="J96" s="122"/>
      <c r="K96" s="123"/>
      <c r="L96" s="123"/>
      <c r="M96" s="123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ht="18.75">
      <c r="A97" s="40"/>
      <c r="B97" s="40"/>
      <c r="C97" s="40"/>
      <c r="D97" s="164"/>
      <c r="E97" s="164"/>
      <c r="F97" s="164"/>
      <c r="G97" s="164"/>
      <c r="H97" s="40"/>
      <c r="I97" s="40"/>
      <c r="J97" s="122"/>
      <c r="K97" s="123"/>
      <c r="L97" s="123"/>
      <c r="M97" s="123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ht="18.75">
      <c r="A98" s="40"/>
      <c r="B98" s="40"/>
      <c r="C98" s="40"/>
      <c r="D98" s="164"/>
      <c r="E98" s="164"/>
      <c r="F98" s="164"/>
      <c r="G98" s="164"/>
      <c r="H98" s="40"/>
      <c r="I98" s="40"/>
      <c r="J98" s="122"/>
      <c r="K98" s="123"/>
      <c r="L98" s="123"/>
      <c r="M98" s="123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ht="18.75">
      <c r="A99" s="40"/>
      <c r="B99" s="40"/>
      <c r="C99" s="40"/>
      <c r="D99" s="164"/>
      <c r="E99" s="164"/>
      <c r="F99" s="164"/>
      <c r="G99" s="164"/>
      <c r="H99" s="40"/>
      <c r="I99" s="40"/>
      <c r="J99" s="122"/>
      <c r="K99" s="123"/>
      <c r="L99" s="123"/>
      <c r="M99" s="123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ht="18.75">
      <c r="A100" s="40"/>
      <c r="B100" s="40"/>
      <c r="C100" s="40"/>
      <c r="D100" s="164"/>
      <c r="E100" s="164"/>
      <c r="F100" s="164"/>
      <c r="G100" s="164"/>
      <c r="H100" s="40"/>
      <c r="I100" s="40"/>
      <c r="J100" s="122"/>
      <c r="K100" s="123"/>
      <c r="L100" s="123"/>
      <c r="M100" s="123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ht="18.75">
      <c r="A101" s="40"/>
      <c r="B101" s="40"/>
      <c r="C101" s="40"/>
      <c r="D101" s="164"/>
      <c r="E101" s="164"/>
      <c r="F101" s="164"/>
      <c r="G101" s="164"/>
      <c r="H101" s="40"/>
      <c r="I101" s="40"/>
      <c r="J101" s="122"/>
      <c r="K101" s="123"/>
      <c r="L101" s="123"/>
      <c r="M101" s="123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ht="18.75">
      <c r="A102" s="40"/>
      <c r="B102" s="40"/>
      <c r="C102" s="40"/>
      <c r="D102" s="164"/>
      <c r="E102" s="164"/>
      <c r="F102" s="164"/>
      <c r="G102" s="164"/>
      <c r="H102" s="40"/>
      <c r="I102" s="40"/>
      <c r="J102" s="122"/>
      <c r="K102" s="123"/>
      <c r="L102" s="123"/>
      <c r="M102" s="123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ht="18.75">
      <c r="A103" s="40"/>
      <c r="B103" s="40"/>
      <c r="C103" s="40"/>
      <c r="D103" s="164"/>
      <c r="E103" s="164"/>
      <c r="F103" s="164"/>
      <c r="G103" s="164"/>
      <c r="H103" s="40"/>
      <c r="I103" s="40"/>
      <c r="J103" s="122"/>
      <c r="K103" s="123"/>
      <c r="L103" s="123"/>
      <c r="M103" s="123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ht="18.75">
      <c r="A104" s="40"/>
      <c r="B104" s="40"/>
      <c r="C104" s="40"/>
      <c r="D104" s="164"/>
      <c r="E104" s="164"/>
      <c r="F104" s="164"/>
      <c r="G104" s="164"/>
      <c r="H104" s="40"/>
      <c r="I104" s="40"/>
      <c r="J104" s="122"/>
      <c r="K104" s="123"/>
      <c r="L104" s="123"/>
      <c r="M104" s="123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8.75">
      <c r="A105" s="40"/>
      <c r="B105" s="40"/>
      <c r="C105" s="40"/>
      <c r="D105" s="164"/>
      <c r="E105" s="164"/>
      <c r="F105" s="164"/>
      <c r="G105" s="164"/>
      <c r="H105" s="40"/>
      <c r="I105" s="40"/>
      <c r="J105" s="122"/>
      <c r="K105" s="123"/>
      <c r="L105" s="123"/>
      <c r="M105" s="123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8.75">
      <c r="A106" s="40"/>
      <c r="B106" s="40"/>
      <c r="C106" s="40"/>
      <c r="D106" s="164"/>
      <c r="E106" s="164"/>
      <c r="F106" s="164"/>
      <c r="G106" s="164"/>
      <c r="H106" s="40"/>
      <c r="I106" s="40"/>
      <c r="J106" s="122"/>
      <c r="K106" s="123"/>
      <c r="L106" s="123"/>
      <c r="M106" s="123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8.75">
      <c r="A107" s="40"/>
      <c r="B107" s="40"/>
      <c r="C107" s="40"/>
      <c r="D107" s="164"/>
      <c r="E107" s="164"/>
      <c r="F107" s="164"/>
      <c r="G107" s="164"/>
      <c r="H107" s="40"/>
      <c r="I107" s="40"/>
      <c r="J107" s="122"/>
      <c r="K107" s="123"/>
      <c r="L107" s="123"/>
      <c r="M107" s="123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ht="18.75">
      <c r="A108" s="40"/>
      <c r="B108" s="40"/>
      <c r="C108" s="40"/>
      <c r="D108" s="164"/>
      <c r="E108" s="164"/>
      <c r="F108" s="164"/>
      <c r="G108" s="164"/>
      <c r="H108" s="40"/>
      <c r="I108" s="40"/>
      <c r="J108" s="122"/>
      <c r="K108" s="123"/>
      <c r="L108" s="123"/>
      <c r="M108" s="123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ht="18.75">
      <c r="A109" s="40"/>
      <c r="B109" s="40"/>
      <c r="C109" s="40"/>
      <c r="D109" s="164"/>
      <c r="E109" s="164"/>
      <c r="F109" s="164"/>
      <c r="G109" s="164"/>
      <c r="H109" s="40"/>
      <c r="I109" s="40"/>
      <c r="J109" s="122"/>
      <c r="K109" s="123"/>
      <c r="L109" s="123"/>
      <c r="M109" s="123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ht="18.75">
      <c r="A110" s="40"/>
      <c r="B110" s="40"/>
      <c r="C110" s="40"/>
      <c r="D110" s="164"/>
      <c r="E110" s="164"/>
      <c r="F110" s="164"/>
      <c r="G110" s="164"/>
      <c r="H110" s="40"/>
      <c r="I110" s="40"/>
      <c r="J110" s="122"/>
      <c r="K110" s="123"/>
      <c r="L110" s="123"/>
      <c r="M110" s="123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ht="18.75">
      <c r="A111" s="40"/>
      <c r="B111" s="40"/>
      <c r="C111" s="40"/>
      <c r="D111" s="164"/>
      <c r="E111" s="164"/>
      <c r="F111" s="164"/>
      <c r="G111" s="164"/>
      <c r="H111" s="40"/>
      <c r="I111" s="40"/>
      <c r="J111" s="122"/>
      <c r="K111" s="123"/>
      <c r="L111" s="123"/>
      <c r="M111" s="123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ht="18.75">
      <c r="A112" s="40"/>
      <c r="B112" s="40"/>
      <c r="C112" s="40"/>
      <c r="D112" s="164"/>
      <c r="E112" s="164"/>
      <c r="F112" s="164"/>
      <c r="G112" s="164"/>
      <c r="H112" s="40"/>
      <c r="I112" s="40"/>
      <c r="J112" s="122"/>
      <c r="K112" s="123"/>
      <c r="L112" s="123"/>
      <c r="M112" s="123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18.75">
      <c r="A113" s="40"/>
      <c r="B113" s="40"/>
      <c r="C113" s="40"/>
      <c r="D113" s="164"/>
      <c r="E113" s="164"/>
      <c r="F113" s="164"/>
      <c r="G113" s="164"/>
      <c r="H113" s="40"/>
      <c r="I113" s="40"/>
      <c r="J113" s="122"/>
      <c r="K113" s="123"/>
      <c r="L113" s="123"/>
      <c r="M113" s="123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ht="18.75">
      <c r="A114" s="40"/>
      <c r="B114" s="40"/>
      <c r="C114" s="40"/>
      <c r="D114" s="164"/>
      <c r="E114" s="164"/>
      <c r="F114" s="164"/>
      <c r="G114" s="164"/>
      <c r="H114" s="40"/>
      <c r="I114" s="40"/>
      <c r="J114" s="122"/>
      <c r="K114" s="123"/>
      <c r="L114" s="123"/>
      <c r="M114" s="123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ht="18.75">
      <c r="A115" s="40"/>
      <c r="B115" s="40"/>
      <c r="C115" s="40"/>
      <c r="D115" s="164"/>
      <c r="E115" s="164"/>
      <c r="F115" s="164"/>
      <c r="G115" s="164"/>
      <c r="H115" s="40"/>
      <c r="I115" s="40"/>
      <c r="J115" s="122"/>
      <c r="K115" s="123"/>
      <c r="L115" s="123"/>
      <c r="M115" s="123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ht="18.75">
      <c r="A116" s="40"/>
      <c r="B116" s="40"/>
      <c r="C116" s="40"/>
      <c r="D116" s="164"/>
      <c r="E116" s="164"/>
      <c r="F116" s="164"/>
      <c r="G116" s="164"/>
      <c r="H116" s="40"/>
      <c r="I116" s="40"/>
      <c r="J116" s="122"/>
      <c r="K116" s="123"/>
      <c r="L116" s="123"/>
      <c r="M116" s="123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18.75">
      <c r="A117" s="40"/>
      <c r="B117" s="40"/>
      <c r="C117" s="40"/>
      <c r="D117" s="164"/>
      <c r="E117" s="164"/>
      <c r="F117" s="164"/>
      <c r="G117" s="164"/>
      <c r="H117" s="40"/>
      <c r="I117" s="40"/>
      <c r="J117" s="122"/>
      <c r="K117" s="123"/>
      <c r="L117" s="123"/>
      <c r="M117" s="123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18.75">
      <c r="A118" s="40"/>
      <c r="B118" s="40"/>
      <c r="C118" s="40"/>
      <c r="D118" s="164"/>
      <c r="E118" s="164"/>
      <c r="F118" s="164"/>
      <c r="G118" s="164"/>
      <c r="H118" s="40"/>
      <c r="I118" s="40"/>
      <c r="J118" s="122"/>
      <c r="K118" s="123"/>
      <c r="L118" s="123"/>
      <c r="M118" s="123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ht="18.75">
      <c r="A119" s="40"/>
      <c r="B119" s="40"/>
      <c r="C119" s="40"/>
      <c r="D119" s="164"/>
      <c r="E119" s="164"/>
      <c r="F119" s="164"/>
      <c r="G119" s="164"/>
      <c r="H119" s="40"/>
      <c r="I119" s="40"/>
      <c r="J119" s="122"/>
      <c r="K119" s="123"/>
      <c r="L119" s="123"/>
      <c r="M119" s="123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ht="18.75">
      <c r="A120" s="40"/>
      <c r="B120" s="40"/>
      <c r="C120" s="40"/>
      <c r="D120" s="164"/>
      <c r="E120" s="164"/>
      <c r="F120" s="164"/>
      <c r="G120" s="164"/>
      <c r="H120" s="40"/>
      <c r="I120" s="40"/>
      <c r="J120" s="122"/>
      <c r="K120" s="123"/>
      <c r="L120" s="123"/>
      <c r="M120" s="123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18.75">
      <c r="A121" s="40"/>
      <c r="B121" s="40"/>
      <c r="C121" s="40"/>
      <c r="D121" s="164"/>
      <c r="E121" s="164"/>
      <c r="F121" s="164"/>
      <c r="G121" s="164"/>
      <c r="H121" s="40"/>
      <c r="I121" s="40"/>
      <c r="J121" s="122"/>
      <c r="K121" s="123"/>
      <c r="L121" s="123"/>
      <c r="M121" s="123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18.75">
      <c r="A122" s="40"/>
      <c r="B122" s="40"/>
      <c r="C122" s="40"/>
      <c r="D122" s="164"/>
      <c r="E122" s="164"/>
      <c r="F122" s="164"/>
      <c r="G122" s="164"/>
      <c r="H122" s="40"/>
      <c r="I122" s="40"/>
      <c r="J122" s="122"/>
      <c r="K122" s="123"/>
      <c r="L122" s="123"/>
      <c r="M122" s="123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18.75">
      <c r="A123" s="40"/>
      <c r="B123" s="40"/>
      <c r="C123" s="40"/>
      <c r="D123" s="164"/>
      <c r="E123" s="164"/>
      <c r="F123" s="164"/>
      <c r="G123" s="164"/>
      <c r="H123" s="40"/>
      <c r="I123" s="40"/>
      <c r="J123" s="122"/>
      <c r="K123" s="123"/>
      <c r="L123" s="123"/>
      <c r="M123" s="123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18.75">
      <c r="A124" s="40"/>
      <c r="B124" s="40"/>
      <c r="C124" s="40"/>
      <c r="D124" s="164"/>
      <c r="E124" s="164"/>
      <c r="F124" s="164"/>
      <c r="G124" s="164"/>
      <c r="H124" s="40"/>
      <c r="I124" s="40"/>
      <c r="J124" s="122"/>
      <c r="K124" s="123"/>
      <c r="L124" s="123"/>
      <c r="M124" s="123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18.75">
      <c r="A125" s="40"/>
      <c r="B125" s="40"/>
      <c r="C125" s="40"/>
      <c r="D125" s="164"/>
      <c r="E125" s="164"/>
      <c r="F125" s="164"/>
      <c r="G125" s="164"/>
      <c r="H125" s="40"/>
      <c r="I125" s="40"/>
      <c r="J125" s="122"/>
      <c r="K125" s="123"/>
      <c r="L125" s="123"/>
      <c r="M125" s="123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18.75">
      <c r="A126" s="40"/>
      <c r="B126" s="40"/>
      <c r="C126" s="40"/>
      <c r="D126" s="164"/>
      <c r="E126" s="164"/>
      <c r="F126" s="164"/>
      <c r="G126" s="164"/>
      <c r="H126" s="40"/>
      <c r="I126" s="40"/>
      <c r="J126" s="122"/>
      <c r="K126" s="123"/>
      <c r="L126" s="123"/>
      <c r="M126" s="123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ht="18.75">
      <c r="A127" s="40"/>
      <c r="B127" s="40"/>
      <c r="C127" s="40"/>
      <c r="D127" s="164"/>
      <c r="E127" s="164"/>
      <c r="F127" s="164"/>
      <c r="G127" s="164"/>
      <c r="H127" s="40"/>
      <c r="I127" s="40"/>
      <c r="J127" s="122"/>
      <c r="K127" s="123"/>
      <c r="L127" s="123"/>
      <c r="M127" s="123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ht="18.75">
      <c r="A128" s="40"/>
      <c r="B128" s="40"/>
      <c r="C128" s="40"/>
      <c r="D128" s="164"/>
      <c r="E128" s="164"/>
      <c r="F128" s="164"/>
      <c r="G128" s="164"/>
      <c r="H128" s="40"/>
      <c r="I128" s="40"/>
      <c r="J128" s="122"/>
      <c r="K128" s="123"/>
      <c r="L128" s="123"/>
      <c r="M128" s="123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ht="18.75">
      <c r="A129" s="40"/>
      <c r="B129" s="40"/>
      <c r="C129" s="40"/>
      <c r="D129" s="164"/>
      <c r="E129" s="164"/>
      <c r="F129" s="164"/>
      <c r="G129" s="164"/>
      <c r="H129" s="40"/>
      <c r="I129" s="40"/>
      <c r="J129" s="122"/>
      <c r="K129" s="123"/>
      <c r="L129" s="123"/>
      <c r="M129" s="123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ht="18.75">
      <c r="A130" s="40"/>
      <c r="B130" s="40"/>
      <c r="C130" s="40"/>
      <c r="D130" s="164"/>
      <c r="E130" s="164"/>
      <c r="F130" s="164"/>
      <c r="G130" s="164"/>
      <c r="H130" s="40"/>
      <c r="I130" s="40"/>
      <c r="J130" s="122"/>
      <c r="K130" s="123"/>
      <c r="L130" s="123"/>
      <c r="M130" s="123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ht="18.75">
      <c r="A131" s="40"/>
      <c r="B131" s="40"/>
      <c r="C131" s="40"/>
      <c r="D131" s="164"/>
      <c r="E131" s="164"/>
      <c r="F131" s="164"/>
      <c r="G131" s="164"/>
      <c r="H131" s="40"/>
      <c r="I131" s="40"/>
      <c r="J131" s="122"/>
      <c r="K131" s="123"/>
      <c r="L131" s="123"/>
      <c r="M131" s="123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ht="18.75">
      <c r="A132" s="40"/>
      <c r="B132" s="40"/>
      <c r="C132" s="40"/>
      <c r="D132" s="164"/>
      <c r="E132" s="164"/>
      <c r="F132" s="164"/>
      <c r="G132" s="164"/>
      <c r="H132" s="40"/>
      <c r="I132" s="40"/>
      <c r="J132" s="122"/>
      <c r="K132" s="123"/>
      <c r="L132" s="123"/>
      <c r="M132" s="123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ht="18.75">
      <c r="A133" s="40"/>
      <c r="B133" s="40"/>
      <c r="C133" s="40"/>
      <c r="D133" s="164"/>
      <c r="E133" s="164"/>
      <c r="F133" s="164"/>
      <c r="G133" s="164"/>
      <c r="H133" s="40"/>
      <c r="I133" s="40"/>
      <c r="J133" s="122"/>
      <c r="K133" s="123"/>
      <c r="L133" s="123"/>
      <c r="M133" s="123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ht="18.75">
      <c r="A134" s="40"/>
      <c r="B134" s="40"/>
      <c r="C134" s="40"/>
      <c r="D134" s="164"/>
      <c r="E134" s="164"/>
      <c r="F134" s="164"/>
      <c r="G134" s="164"/>
      <c r="H134" s="40"/>
      <c r="I134" s="40"/>
      <c r="J134" s="122"/>
      <c r="K134" s="123"/>
      <c r="L134" s="123"/>
      <c r="M134" s="123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ht="18.75">
      <c r="A135" s="40"/>
      <c r="B135" s="40"/>
      <c r="C135" s="40"/>
      <c r="D135" s="164"/>
      <c r="E135" s="164"/>
      <c r="F135" s="164"/>
      <c r="G135" s="164"/>
      <c r="H135" s="40"/>
      <c r="I135" s="40"/>
      <c r="J135" s="122"/>
      <c r="K135" s="123"/>
      <c r="L135" s="123"/>
      <c r="M135" s="123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ht="18.75">
      <c r="A136" s="40"/>
      <c r="B136" s="40"/>
      <c r="C136" s="40"/>
      <c r="D136" s="164"/>
      <c r="E136" s="164"/>
      <c r="F136" s="164"/>
      <c r="G136" s="164"/>
      <c r="H136" s="40"/>
      <c r="I136" s="40"/>
      <c r="J136" s="122"/>
      <c r="K136" s="123"/>
      <c r="L136" s="123"/>
      <c r="M136" s="123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ht="18.75">
      <c r="A137" s="40"/>
      <c r="B137" s="40"/>
      <c r="C137" s="40"/>
      <c r="D137" s="164"/>
      <c r="E137" s="164"/>
      <c r="F137" s="164"/>
      <c r="G137" s="164"/>
      <c r="H137" s="40"/>
      <c r="I137" s="40"/>
      <c r="J137" s="122"/>
      <c r="K137" s="123"/>
      <c r="L137" s="123"/>
      <c r="M137" s="123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ht="18.75">
      <c r="A138" s="40"/>
      <c r="B138" s="40"/>
      <c r="C138" s="40"/>
      <c r="D138" s="164"/>
      <c r="E138" s="164"/>
      <c r="F138" s="164"/>
      <c r="G138" s="164"/>
      <c r="H138" s="40"/>
      <c r="I138" s="40"/>
      <c r="J138" s="122"/>
      <c r="K138" s="123"/>
      <c r="L138" s="123"/>
      <c r="M138" s="123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24" ht="18.75">
      <c r="A139" s="40"/>
      <c r="B139" s="40"/>
      <c r="C139" s="40"/>
      <c r="D139" s="164"/>
      <c r="E139" s="164"/>
      <c r="F139" s="164"/>
      <c r="G139" s="164"/>
      <c r="H139" s="40"/>
      <c r="I139" s="40"/>
      <c r="J139" s="122"/>
      <c r="K139" s="123"/>
      <c r="L139" s="123"/>
      <c r="M139" s="123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ht="18.75">
      <c r="A140" s="40"/>
      <c r="B140" s="40"/>
      <c r="C140" s="40"/>
      <c r="D140" s="164"/>
      <c r="E140" s="164"/>
      <c r="F140" s="164"/>
      <c r="G140" s="164"/>
      <c r="H140" s="40"/>
      <c r="I140" s="40"/>
      <c r="J140" s="122"/>
      <c r="K140" s="123"/>
      <c r="L140" s="123"/>
      <c r="M140" s="123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24" ht="18.75">
      <c r="A141" s="40"/>
      <c r="B141" s="40"/>
      <c r="C141" s="40"/>
      <c r="D141" s="164"/>
      <c r="E141" s="164"/>
      <c r="F141" s="164"/>
      <c r="G141" s="164"/>
      <c r="H141" s="40"/>
      <c r="I141" s="40"/>
      <c r="J141" s="122"/>
      <c r="K141" s="123"/>
      <c r="L141" s="123"/>
      <c r="M141" s="123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ht="18.75">
      <c r="A142" s="40"/>
      <c r="B142" s="40"/>
      <c r="C142" s="40"/>
      <c r="D142" s="164"/>
      <c r="E142" s="164"/>
      <c r="F142" s="164"/>
      <c r="G142" s="164"/>
      <c r="H142" s="40"/>
      <c r="I142" s="40"/>
      <c r="J142" s="122"/>
      <c r="K142" s="123"/>
      <c r="L142" s="123"/>
      <c r="M142" s="123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ht="18.75">
      <c r="A143" s="40"/>
      <c r="B143" s="40"/>
      <c r="C143" s="40"/>
      <c r="D143" s="164"/>
      <c r="E143" s="164"/>
      <c r="F143" s="164"/>
      <c r="G143" s="164"/>
      <c r="H143" s="40"/>
      <c r="I143" s="40"/>
      <c r="J143" s="122"/>
      <c r="K143" s="123"/>
      <c r="L143" s="123"/>
      <c r="M143" s="123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ht="18.75">
      <c r="A144" s="40"/>
      <c r="B144" s="40"/>
      <c r="C144" s="40"/>
      <c r="D144" s="164"/>
      <c r="E144" s="164"/>
      <c r="F144" s="164"/>
      <c r="G144" s="164"/>
      <c r="H144" s="40"/>
      <c r="I144" s="40"/>
      <c r="J144" s="122"/>
      <c r="K144" s="123"/>
      <c r="L144" s="123"/>
      <c r="M144" s="123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ht="18.75">
      <c r="A145" s="40"/>
      <c r="B145" s="40"/>
      <c r="C145" s="40"/>
      <c r="D145" s="164"/>
      <c r="E145" s="164"/>
      <c r="F145" s="164"/>
      <c r="G145" s="164"/>
      <c r="H145" s="40"/>
      <c r="I145" s="40"/>
      <c r="J145" s="122"/>
      <c r="K145" s="123"/>
      <c r="L145" s="123"/>
      <c r="M145" s="123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ht="18.75">
      <c r="A146" s="40"/>
      <c r="B146" s="40"/>
      <c r="C146" s="40"/>
      <c r="D146" s="164"/>
      <c r="E146" s="164"/>
      <c r="F146" s="164"/>
      <c r="G146" s="164"/>
      <c r="H146" s="40"/>
      <c r="I146" s="40"/>
      <c r="J146" s="122"/>
      <c r="K146" s="123"/>
      <c r="L146" s="123"/>
      <c r="M146" s="123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8.75">
      <c r="A147" s="40"/>
      <c r="B147" s="40"/>
      <c r="C147" s="40"/>
      <c r="D147" s="164"/>
      <c r="E147" s="164"/>
      <c r="F147" s="164"/>
      <c r="G147" s="164"/>
      <c r="H147" s="40"/>
      <c r="I147" s="40"/>
      <c r="J147" s="122"/>
      <c r="K147" s="123"/>
      <c r="L147" s="123"/>
      <c r="M147" s="123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8.75">
      <c r="A148" s="40"/>
      <c r="B148" s="40"/>
      <c r="C148" s="40"/>
      <c r="D148" s="164"/>
      <c r="E148" s="164"/>
      <c r="F148" s="164"/>
      <c r="G148" s="164"/>
      <c r="H148" s="40"/>
      <c r="I148" s="40"/>
      <c r="J148" s="122"/>
      <c r="K148" s="123"/>
      <c r="L148" s="123"/>
      <c r="M148" s="123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8.75">
      <c r="A149" s="40"/>
      <c r="B149" s="40"/>
      <c r="C149" s="40"/>
      <c r="D149" s="164"/>
      <c r="E149" s="164"/>
      <c r="F149" s="164"/>
      <c r="G149" s="164"/>
      <c r="H149" s="40"/>
      <c r="I149" s="40"/>
      <c r="J149" s="122"/>
      <c r="K149" s="123"/>
      <c r="L149" s="123"/>
      <c r="M149" s="123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8.75">
      <c r="A150" s="40"/>
      <c r="B150" s="40"/>
      <c r="C150" s="40"/>
      <c r="D150" s="164"/>
      <c r="E150" s="164"/>
      <c r="F150" s="164"/>
      <c r="G150" s="164"/>
      <c r="H150" s="40"/>
      <c r="I150" s="40"/>
      <c r="J150" s="122"/>
      <c r="K150" s="123"/>
      <c r="L150" s="123"/>
      <c r="M150" s="123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8.75">
      <c r="A151" s="40"/>
      <c r="B151" s="40"/>
      <c r="C151" s="40"/>
      <c r="D151" s="164"/>
      <c r="E151" s="164"/>
      <c r="F151" s="164"/>
      <c r="G151" s="164"/>
      <c r="H151" s="40"/>
      <c r="I151" s="40"/>
      <c r="J151" s="122"/>
      <c r="K151" s="123"/>
      <c r="L151" s="123"/>
      <c r="M151" s="123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8.75">
      <c r="A152" s="40"/>
      <c r="B152" s="40"/>
      <c r="C152" s="40"/>
      <c r="D152" s="164"/>
      <c r="E152" s="164"/>
      <c r="F152" s="164"/>
      <c r="G152" s="164"/>
      <c r="H152" s="40"/>
      <c r="I152" s="40"/>
      <c r="J152" s="122"/>
      <c r="K152" s="123"/>
      <c r="L152" s="123"/>
      <c r="M152" s="123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8.75">
      <c r="A153" s="40"/>
      <c r="B153" s="40"/>
      <c r="C153" s="40"/>
      <c r="D153" s="164"/>
      <c r="E153" s="164"/>
      <c r="F153" s="164"/>
      <c r="G153" s="164"/>
      <c r="H153" s="40"/>
      <c r="I153" s="40"/>
      <c r="J153" s="122"/>
      <c r="K153" s="123"/>
      <c r="L153" s="123"/>
      <c r="M153" s="123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8.75">
      <c r="A154" s="40"/>
      <c r="B154" s="40"/>
      <c r="C154" s="40"/>
      <c r="D154" s="164"/>
      <c r="E154" s="164"/>
      <c r="F154" s="164"/>
      <c r="G154" s="164"/>
      <c r="H154" s="40"/>
      <c r="I154" s="40"/>
      <c r="J154" s="122"/>
      <c r="K154" s="123"/>
      <c r="L154" s="123"/>
      <c r="M154" s="123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8.75">
      <c r="A155" s="40"/>
      <c r="B155" s="40"/>
      <c r="C155" s="40"/>
      <c r="D155" s="164"/>
      <c r="E155" s="164"/>
      <c r="F155" s="164"/>
      <c r="G155" s="164"/>
      <c r="H155" s="40"/>
      <c r="I155" s="40"/>
      <c r="J155" s="122"/>
      <c r="K155" s="123"/>
      <c r="L155" s="123"/>
      <c r="M155" s="123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8.75">
      <c r="A156" s="40"/>
      <c r="B156" s="40"/>
      <c r="C156" s="40"/>
      <c r="D156" s="164"/>
      <c r="E156" s="164"/>
      <c r="F156" s="164"/>
      <c r="G156" s="164"/>
      <c r="H156" s="40"/>
      <c r="I156" s="40"/>
      <c r="J156" s="122"/>
      <c r="K156" s="123"/>
      <c r="L156" s="123"/>
      <c r="M156" s="123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8.75">
      <c r="A157" s="40"/>
      <c r="B157" s="40"/>
      <c r="C157" s="40"/>
      <c r="D157" s="164"/>
      <c r="E157" s="164"/>
      <c r="F157" s="164"/>
      <c r="G157" s="164"/>
      <c r="H157" s="40"/>
      <c r="I157" s="40"/>
      <c r="J157" s="122"/>
      <c r="K157" s="123"/>
      <c r="L157" s="123"/>
      <c r="M157" s="123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8.75">
      <c r="A158" s="40"/>
      <c r="B158" s="40"/>
      <c r="C158" s="40"/>
      <c r="D158" s="164"/>
      <c r="E158" s="164"/>
      <c r="F158" s="164"/>
      <c r="G158" s="164"/>
      <c r="H158" s="40"/>
      <c r="I158" s="40"/>
      <c r="J158" s="122"/>
      <c r="K158" s="123"/>
      <c r="L158" s="123"/>
      <c r="M158" s="123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8.75">
      <c r="A159" s="40"/>
      <c r="B159" s="40"/>
      <c r="C159" s="40"/>
      <c r="D159" s="164"/>
      <c r="E159" s="164"/>
      <c r="F159" s="164"/>
      <c r="G159" s="164"/>
      <c r="H159" s="40"/>
      <c r="I159" s="40"/>
      <c r="J159" s="122"/>
      <c r="K159" s="123"/>
      <c r="L159" s="123"/>
      <c r="M159" s="123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8.75">
      <c r="A160" s="40"/>
      <c r="B160" s="40"/>
      <c r="C160" s="40"/>
      <c r="D160" s="164"/>
      <c r="E160" s="164"/>
      <c r="F160" s="164"/>
      <c r="G160" s="164"/>
      <c r="H160" s="40"/>
      <c r="I160" s="40"/>
      <c r="J160" s="122"/>
      <c r="K160" s="123"/>
      <c r="L160" s="123"/>
      <c r="M160" s="123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8.75">
      <c r="A161" s="40"/>
      <c r="B161" s="40"/>
      <c r="C161" s="40"/>
      <c r="D161" s="164"/>
      <c r="E161" s="164"/>
      <c r="F161" s="164"/>
      <c r="G161" s="164"/>
      <c r="H161" s="40"/>
      <c r="I161" s="40"/>
      <c r="J161" s="122"/>
      <c r="K161" s="123"/>
      <c r="L161" s="123"/>
      <c r="M161" s="123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8.75">
      <c r="A162" s="40"/>
      <c r="B162" s="40"/>
      <c r="C162" s="40"/>
      <c r="D162" s="164"/>
      <c r="E162" s="164"/>
      <c r="F162" s="164"/>
      <c r="G162" s="164"/>
      <c r="H162" s="40"/>
      <c r="I162" s="40"/>
      <c r="J162" s="122"/>
      <c r="K162" s="123"/>
      <c r="L162" s="123"/>
      <c r="M162" s="123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8.75">
      <c r="A163" s="40"/>
      <c r="B163" s="40"/>
      <c r="C163" s="40"/>
      <c r="D163" s="164"/>
      <c r="E163" s="164"/>
      <c r="F163" s="164"/>
      <c r="G163" s="164"/>
      <c r="H163" s="40"/>
      <c r="I163" s="40"/>
      <c r="J163" s="122"/>
      <c r="K163" s="123"/>
      <c r="L163" s="123"/>
      <c r="M163" s="123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8.75">
      <c r="A164" s="40"/>
      <c r="B164" s="40"/>
      <c r="C164" s="40"/>
      <c r="D164" s="164"/>
      <c r="E164" s="164"/>
      <c r="F164" s="164"/>
      <c r="G164" s="164"/>
      <c r="H164" s="40"/>
      <c r="I164" s="40"/>
      <c r="J164" s="122"/>
      <c r="K164" s="123"/>
      <c r="L164" s="123"/>
      <c r="M164" s="123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8.75">
      <c r="A165" s="40"/>
      <c r="B165" s="40"/>
      <c r="C165" s="40"/>
      <c r="D165" s="164"/>
      <c r="E165" s="164"/>
      <c r="F165" s="164"/>
      <c r="G165" s="164"/>
      <c r="H165" s="40"/>
      <c r="I165" s="40"/>
      <c r="J165" s="122"/>
      <c r="K165" s="123"/>
      <c r="L165" s="123"/>
      <c r="M165" s="123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8.75">
      <c r="A166" s="40"/>
      <c r="B166" s="40"/>
      <c r="C166" s="40"/>
      <c r="D166" s="164"/>
      <c r="E166" s="164"/>
      <c r="F166" s="164"/>
      <c r="G166" s="164"/>
      <c r="H166" s="40"/>
      <c r="I166" s="40"/>
      <c r="J166" s="122"/>
      <c r="K166" s="123"/>
      <c r="L166" s="123"/>
      <c r="M166" s="123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8.75">
      <c r="A167" s="40"/>
      <c r="B167" s="40"/>
      <c r="C167" s="40"/>
      <c r="D167" s="164"/>
      <c r="E167" s="164"/>
      <c r="F167" s="164"/>
      <c r="G167" s="164"/>
      <c r="H167" s="40"/>
      <c r="I167" s="40"/>
      <c r="J167" s="122"/>
      <c r="K167" s="123"/>
      <c r="L167" s="123"/>
      <c r="M167" s="123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8.75">
      <c r="A168" s="40"/>
      <c r="B168" s="40"/>
      <c r="C168" s="40"/>
      <c r="D168" s="164"/>
      <c r="E168" s="164"/>
      <c r="F168" s="164"/>
      <c r="G168" s="164"/>
      <c r="H168" s="40"/>
      <c r="I168" s="40"/>
      <c r="J168" s="122"/>
      <c r="K168" s="123"/>
      <c r="L168" s="123"/>
      <c r="M168" s="123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8.75">
      <c r="A169" s="40"/>
      <c r="B169" s="40"/>
      <c r="C169" s="40"/>
      <c r="D169" s="164"/>
      <c r="E169" s="164"/>
      <c r="F169" s="164"/>
      <c r="G169" s="164"/>
      <c r="H169" s="40"/>
      <c r="I169" s="40"/>
      <c r="J169" s="122"/>
      <c r="K169" s="123"/>
      <c r="L169" s="123"/>
      <c r="M169" s="123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8.75">
      <c r="A170" s="40"/>
      <c r="B170" s="40"/>
      <c r="C170" s="40"/>
      <c r="D170" s="164"/>
      <c r="E170" s="164"/>
      <c r="F170" s="164"/>
      <c r="G170" s="164"/>
      <c r="H170" s="40"/>
      <c r="I170" s="40"/>
      <c r="J170" s="122"/>
      <c r="K170" s="123"/>
      <c r="L170" s="123"/>
      <c r="M170" s="123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8.75">
      <c r="A171" s="40"/>
      <c r="B171" s="40"/>
      <c r="C171" s="40"/>
      <c r="D171" s="164"/>
      <c r="E171" s="164"/>
      <c r="F171" s="164"/>
      <c r="G171" s="164"/>
      <c r="H171" s="40"/>
      <c r="I171" s="40"/>
      <c r="J171" s="122"/>
      <c r="K171" s="123"/>
      <c r="L171" s="123"/>
      <c r="M171" s="123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8.75">
      <c r="A172" s="40"/>
      <c r="B172" s="40"/>
      <c r="C172" s="40"/>
      <c r="D172" s="164"/>
      <c r="E172" s="164"/>
      <c r="F172" s="164"/>
      <c r="G172" s="164"/>
      <c r="H172" s="40"/>
      <c r="I172" s="40"/>
      <c r="J172" s="122"/>
      <c r="K172" s="123"/>
      <c r="L172" s="123"/>
      <c r="M172" s="123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8.75">
      <c r="A173" s="40"/>
      <c r="B173" s="40"/>
      <c r="C173" s="40"/>
      <c r="D173" s="164"/>
      <c r="E173" s="164"/>
      <c r="F173" s="164"/>
      <c r="G173" s="164"/>
      <c r="H173" s="40"/>
      <c r="I173" s="40"/>
      <c r="J173" s="122"/>
      <c r="K173" s="123"/>
      <c r="L173" s="123"/>
      <c r="M173" s="123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8.75">
      <c r="A174" s="40"/>
      <c r="B174" s="40"/>
      <c r="C174" s="40"/>
      <c r="D174" s="164"/>
      <c r="E174" s="164"/>
      <c r="F174" s="164"/>
      <c r="G174" s="164"/>
      <c r="H174" s="40"/>
      <c r="I174" s="40"/>
      <c r="J174" s="122"/>
      <c r="K174" s="123"/>
      <c r="L174" s="123"/>
      <c r="M174" s="123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8.75">
      <c r="A175" s="40"/>
      <c r="B175" s="40"/>
      <c r="C175" s="40"/>
      <c r="D175" s="164"/>
      <c r="E175" s="164"/>
      <c r="F175" s="164"/>
      <c r="G175" s="164"/>
      <c r="H175" s="40"/>
      <c r="I175" s="40"/>
      <c r="J175" s="122"/>
      <c r="K175" s="123"/>
      <c r="L175" s="123"/>
      <c r="M175" s="123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8.75">
      <c r="A176" s="40"/>
      <c r="B176" s="40"/>
      <c r="C176" s="40"/>
      <c r="D176" s="164"/>
      <c r="E176" s="164"/>
      <c r="F176" s="164"/>
      <c r="G176" s="164"/>
      <c r="H176" s="40"/>
      <c r="I176" s="40"/>
      <c r="J176" s="122"/>
      <c r="K176" s="123"/>
      <c r="L176" s="123"/>
      <c r="M176" s="123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8.75">
      <c r="A177" s="40"/>
      <c r="B177" s="40"/>
      <c r="C177" s="40"/>
      <c r="D177" s="164"/>
      <c r="E177" s="164"/>
      <c r="F177" s="164"/>
      <c r="G177" s="164"/>
      <c r="H177" s="40"/>
      <c r="I177" s="40"/>
      <c r="J177" s="122"/>
      <c r="K177" s="123"/>
      <c r="L177" s="123"/>
      <c r="M177" s="123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8.75">
      <c r="A178" s="40"/>
      <c r="B178" s="40"/>
      <c r="C178" s="40"/>
      <c r="D178" s="164"/>
      <c r="E178" s="164"/>
      <c r="F178" s="164"/>
      <c r="G178" s="164"/>
      <c r="H178" s="40"/>
      <c r="I178" s="40"/>
      <c r="J178" s="122"/>
      <c r="K178" s="123"/>
      <c r="L178" s="123"/>
      <c r="M178" s="123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8.75">
      <c r="A179" s="40"/>
      <c r="B179" s="40"/>
      <c r="C179" s="40"/>
      <c r="D179" s="164"/>
      <c r="E179" s="164"/>
      <c r="F179" s="164"/>
      <c r="G179" s="164"/>
      <c r="H179" s="40"/>
      <c r="I179" s="40"/>
      <c r="J179" s="122"/>
      <c r="K179" s="123"/>
      <c r="L179" s="123"/>
      <c r="M179" s="123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8.75">
      <c r="A180" s="40"/>
      <c r="B180" s="40"/>
      <c r="C180" s="40"/>
      <c r="D180" s="164"/>
      <c r="E180" s="164"/>
      <c r="F180" s="164"/>
      <c r="G180" s="164"/>
      <c r="H180" s="40"/>
      <c r="I180" s="40"/>
      <c r="J180" s="122"/>
      <c r="K180" s="123"/>
      <c r="L180" s="123"/>
      <c r="M180" s="123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8.75">
      <c r="A181" s="40"/>
      <c r="B181" s="40"/>
      <c r="C181" s="40"/>
      <c r="D181" s="164"/>
      <c r="E181" s="164"/>
      <c r="F181" s="164"/>
      <c r="G181" s="164"/>
      <c r="H181" s="40"/>
      <c r="I181" s="40"/>
      <c r="J181" s="122"/>
      <c r="K181" s="123"/>
      <c r="L181" s="123"/>
      <c r="M181" s="123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8.75">
      <c r="A182" s="40"/>
      <c r="B182" s="40"/>
      <c r="C182" s="40"/>
      <c r="D182" s="164"/>
      <c r="E182" s="164"/>
      <c r="F182" s="164"/>
      <c r="G182" s="164"/>
      <c r="H182" s="40"/>
      <c r="I182" s="40"/>
      <c r="J182" s="122"/>
      <c r="K182" s="123"/>
      <c r="L182" s="123"/>
      <c r="M182" s="123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8.75">
      <c r="A183" s="40"/>
      <c r="B183" s="40"/>
      <c r="C183" s="40"/>
      <c r="D183" s="164"/>
      <c r="E183" s="164"/>
      <c r="F183" s="164"/>
      <c r="G183" s="164"/>
      <c r="H183" s="40"/>
      <c r="I183" s="40"/>
      <c r="J183" s="122"/>
      <c r="K183" s="123"/>
      <c r="L183" s="123"/>
      <c r="M183" s="123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8.75">
      <c r="A184" s="40"/>
      <c r="B184" s="40"/>
      <c r="C184" s="40"/>
      <c r="D184" s="164"/>
      <c r="E184" s="164"/>
      <c r="F184" s="164"/>
      <c r="G184" s="164"/>
      <c r="H184" s="40"/>
      <c r="I184" s="40"/>
      <c r="J184" s="122"/>
      <c r="K184" s="123"/>
      <c r="L184" s="123"/>
      <c r="M184" s="123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8.75">
      <c r="A185" s="40"/>
      <c r="B185" s="40"/>
      <c r="C185" s="40"/>
      <c r="D185" s="164"/>
      <c r="E185" s="164"/>
      <c r="F185" s="164"/>
      <c r="G185" s="164"/>
      <c r="H185" s="40"/>
      <c r="I185" s="40"/>
      <c r="J185" s="122"/>
      <c r="K185" s="123"/>
      <c r="L185" s="123"/>
      <c r="M185" s="123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8.75">
      <c r="A186" s="40"/>
      <c r="B186" s="40"/>
      <c r="C186" s="40"/>
      <c r="D186" s="164"/>
      <c r="E186" s="164"/>
      <c r="F186" s="164"/>
      <c r="G186" s="164"/>
      <c r="H186" s="40"/>
      <c r="I186" s="40"/>
      <c r="J186" s="122"/>
      <c r="K186" s="123"/>
      <c r="L186" s="123"/>
      <c r="M186" s="123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8.75">
      <c r="A187" s="40"/>
      <c r="B187" s="40"/>
      <c r="C187" s="40"/>
      <c r="D187" s="164"/>
      <c r="E187" s="164"/>
      <c r="F187" s="164"/>
      <c r="G187" s="164"/>
      <c r="H187" s="40"/>
      <c r="I187" s="40"/>
      <c r="J187" s="122"/>
      <c r="K187" s="123"/>
      <c r="L187" s="123"/>
      <c r="M187" s="123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8.75">
      <c r="A188" s="40"/>
      <c r="B188" s="40"/>
      <c r="C188" s="40"/>
      <c r="D188" s="164"/>
      <c r="E188" s="164"/>
      <c r="F188" s="164"/>
      <c r="G188" s="164"/>
      <c r="H188" s="40"/>
      <c r="I188" s="40"/>
      <c r="J188" s="122"/>
      <c r="K188" s="123"/>
      <c r="L188" s="123"/>
      <c r="M188" s="123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8.75">
      <c r="A189" s="40"/>
      <c r="B189" s="40"/>
      <c r="C189" s="40"/>
      <c r="D189" s="164"/>
      <c r="E189" s="164"/>
      <c r="F189" s="164"/>
      <c r="G189" s="164"/>
      <c r="H189" s="40"/>
      <c r="I189" s="40"/>
      <c r="J189" s="122"/>
      <c r="K189" s="123"/>
      <c r="L189" s="123"/>
      <c r="M189" s="123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8.75">
      <c r="A190" s="40"/>
      <c r="B190" s="40"/>
      <c r="C190" s="40"/>
      <c r="D190" s="164"/>
      <c r="E190" s="164"/>
      <c r="F190" s="164"/>
      <c r="G190" s="164"/>
      <c r="H190" s="40"/>
      <c r="I190" s="40"/>
      <c r="J190" s="122"/>
      <c r="K190" s="123"/>
      <c r="L190" s="123"/>
      <c r="M190" s="123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8.75">
      <c r="A191" s="40"/>
      <c r="B191" s="40"/>
      <c r="C191" s="40"/>
      <c r="D191" s="164"/>
      <c r="E191" s="164"/>
      <c r="F191" s="164"/>
      <c r="G191" s="164"/>
      <c r="H191" s="40"/>
      <c r="I191" s="40"/>
      <c r="J191" s="122"/>
      <c r="K191" s="123"/>
      <c r="L191" s="123"/>
      <c r="M191" s="123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8.75">
      <c r="A192" s="40"/>
      <c r="B192" s="40"/>
      <c r="C192" s="40"/>
      <c r="D192" s="164"/>
      <c r="E192" s="164"/>
      <c r="F192" s="164"/>
      <c r="G192" s="164"/>
      <c r="H192" s="40"/>
      <c r="I192" s="40"/>
      <c r="J192" s="122"/>
      <c r="K192" s="123"/>
      <c r="L192" s="123"/>
      <c r="M192" s="123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8.75">
      <c r="A193" s="40"/>
      <c r="B193" s="40"/>
      <c r="C193" s="40"/>
      <c r="D193" s="164"/>
      <c r="E193" s="164"/>
      <c r="F193" s="164"/>
      <c r="G193" s="164"/>
      <c r="H193" s="40"/>
      <c r="I193" s="40"/>
      <c r="J193" s="122"/>
      <c r="K193" s="123"/>
      <c r="L193" s="123"/>
      <c r="M193" s="123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8.75">
      <c r="A194" s="40"/>
      <c r="B194" s="40"/>
      <c r="C194" s="40"/>
      <c r="D194" s="164"/>
      <c r="E194" s="164"/>
      <c r="F194" s="164"/>
      <c r="G194" s="164"/>
      <c r="H194" s="40"/>
      <c r="I194" s="40"/>
      <c r="J194" s="122"/>
      <c r="K194" s="123"/>
      <c r="L194" s="123"/>
      <c r="M194" s="123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8.75">
      <c r="A195" s="40"/>
      <c r="B195" s="40"/>
      <c r="C195" s="40"/>
      <c r="D195" s="164"/>
      <c r="E195" s="164"/>
      <c r="F195" s="164"/>
      <c r="G195" s="164"/>
      <c r="H195" s="40"/>
      <c r="I195" s="40"/>
      <c r="J195" s="122"/>
      <c r="K195" s="123"/>
      <c r="L195" s="123"/>
      <c r="M195" s="123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8.75">
      <c r="A196" s="40"/>
      <c r="B196" s="40"/>
      <c r="C196" s="40"/>
      <c r="D196" s="164"/>
      <c r="E196" s="164"/>
      <c r="F196" s="164"/>
      <c r="G196" s="164"/>
      <c r="H196" s="40"/>
      <c r="I196" s="40"/>
      <c r="J196" s="122"/>
      <c r="K196" s="123"/>
      <c r="L196" s="123"/>
      <c r="M196" s="123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8.75">
      <c r="A197" s="40"/>
      <c r="B197" s="40"/>
      <c r="C197" s="40"/>
      <c r="D197" s="164"/>
      <c r="E197" s="164"/>
      <c r="F197" s="164"/>
      <c r="G197" s="164"/>
      <c r="H197" s="40"/>
      <c r="I197" s="40"/>
      <c r="J197" s="122"/>
      <c r="K197" s="123"/>
      <c r="L197" s="123"/>
      <c r="M197" s="123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8.75">
      <c r="A198" s="40"/>
      <c r="B198" s="40"/>
      <c r="C198" s="40"/>
      <c r="D198" s="164"/>
      <c r="E198" s="164"/>
      <c r="F198" s="164"/>
      <c r="G198" s="164"/>
      <c r="H198" s="40"/>
      <c r="I198" s="40"/>
      <c r="J198" s="122"/>
      <c r="K198" s="123"/>
      <c r="L198" s="123"/>
      <c r="M198" s="123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</sheetData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2"/>
  <sheetViews>
    <sheetView zoomScale="140" zoomScaleNormal="140" workbookViewId="0" topLeftCell="A1">
      <selection activeCell="J7" sqref="J7"/>
    </sheetView>
  </sheetViews>
  <sheetFormatPr defaultColWidth="9.140625" defaultRowHeight="12.75"/>
  <cols>
    <col min="1" max="1" width="5.57421875" style="37" customWidth="1"/>
    <col min="2" max="2" width="6.7109375" style="37" customWidth="1"/>
    <col min="3" max="3" width="5.421875" style="84" customWidth="1"/>
    <col min="4" max="4" width="28.7109375" style="56" customWidth="1"/>
    <col min="5" max="5" width="13.57421875" style="50" customWidth="1"/>
    <col min="6" max="6" width="13.00390625" style="50" customWidth="1"/>
    <col min="7" max="7" width="14.28125" style="50" customWidth="1"/>
    <col min="8" max="8" width="13.28125" style="50" customWidth="1"/>
    <col min="9" max="9" width="5.8515625" style="278" customWidth="1"/>
    <col min="10" max="16384" width="9.140625" style="37" customWidth="1"/>
  </cols>
  <sheetData>
    <row r="1" spans="7:8" ht="20.25">
      <c r="G1" s="211" t="s">
        <v>205</v>
      </c>
      <c r="H1" s="164"/>
    </row>
    <row r="2" spans="7:8" ht="18.75">
      <c r="G2" s="256" t="s">
        <v>201</v>
      </c>
      <c r="H2" s="164"/>
    </row>
    <row r="3" spans="7:8" ht="18.75">
      <c r="G3" s="256" t="s">
        <v>202</v>
      </c>
      <c r="H3" s="164"/>
    </row>
    <row r="4" spans="7:8" ht="18.75">
      <c r="G4" s="256" t="s">
        <v>203</v>
      </c>
      <c r="H4" s="164"/>
    </row>
    <row r="7" spans="1:2" ht="12.75">
      <c r="A7" s="56"/>
      <c r="B7" s="56"/>
    </row>
    <row r="8" spans="1:4" ht="18.75">
      <c r="A8" s="84"/>
      <c r="B8" s="113" t="s">
        <v>206</v>
      </c>
      <c r="C8" s="114"/>
      <c r="D8" s="189"/>
    </row>
    <row r="9" spans="1:4" ht="18.75">
      <c r="A9" s="84"/>
      <c r="B9" s="113"/>
      <c r="C9" s="113"/>
      <c r="D9" s="189"/>
    </row>
    <row r="10" spans="1:9" ht="12.75">
      <c r="A10" s="368"/>
      <c r="B10" s="369"/>
      <c r="C10" s="21"/>
      <c r="D10" s="370"/>
      <c r="E10" s="88"/>
      <c r="F10" s="371"/>
      <c r="G10" s="88"/>
      <c r="H10" s="371" t="s">
        <v>308</v>
      </c>
      <c r="I10" s="372"/>
    </row>
    <row r="11" spans="1:9" ht="24.75" customHeight="1">
      <c r="A11" s="75"/>
      <c r="B11" s="75"/>
      <c r="C11" s="13"/>
      <c r="D11" s="190"/>
      <c r="E11" s="981" t="s">
        <v>197</v>
      </c>
      <c r="F11" s="982"/>
      <c r="G11" s="970" t="s">
        <v>198</v>
      </c>
      <c r="H11" s="971"/>
      <c r="I11" s="240"/>
    </row>
    <row r="12" spans="1:9" ht="15.75" customHeight="1">
      <c r="A12" s="61" t="s">
        <v>309</v>
      </c>
      <c r="B12" s="61" t="s">
        <v>310</v>
      </c>
      <c r="C12" s="61" t="s">
        <v>435</v>
      </c>
      <c r="D12" s="168" t="s">
        <v>436</v>
      </c>
      <c r="E12" s="116" t="s">
        <v>307</v>
      </c>
      <c r="F12" s="228" t="s">
        <v>280</v>
      </c>
      <c r="G12" s="116" t="s">
        <v>307</v>
      </c>
      <c r="H12" s="279" t="s">
        <v>280</v>
      </c>
      <c r="I12" s="7" t="s">
        <v>142</v>
      </c>
    </row>
    <row r="13" spans="1:9" ht="30" customHeight="1">
      <c r="A13" s="85"/>
      <c r="B13" s="85"/>
      <c r="C13" s="1"/>
      <c r="D13" s="209"/>
      <c r="E13" s="218" t="s">
        <v>437</v>
      </c>
      <c r="F13" s="232" t="s">
        <v>438</v>
      </c>
      <c r="G13" s="218" t="s">
        <v>437</v>
      </c>
      <c r="H13" s="280" t="s">
        <v>438</v>
      </c>
      <c r="I13" s="85" t="s">
        <v>195</v>
      </c>
    </row>
    <row r="14" spans="1:9" ht="23.25" customHeight="1">
      <c r="A14" s="3" t="s">
        <v>441</v>
      </c>
      <c r="B14" s="78"/>
      <c r="C14" s="4"/>
      <c r="D14" s="191"/>
      <c r="E14" s="41"/>
      <c r="F14" s="177"/>
      <c r="G14" s="41"/>
      <c r="H14" s="41"/>
      <c r="I14" s="281"/>
    </row>
    <row r="15" spans="1:9" ht="24" customHeight="1">
      <c r="A15" s="67" t="s">
        <v>432</v>
      </c>
      <c r="B15" s="67"/>
      <c r="C15" s="5"/>
      <c r="D15" s="196" t="s">
        <v>433</v>
      </c>
      <c r="E15" s="125">
        <f>E16+E18</f>
        <v>87138.70000000001</v>
      </c>
      <c r="F15" s="125">
        <f>F16+F18</f>
        <v>80838.70000000001</v>
      </c>
      <c r="G15" s="125">
        <f>G16+G18</f>
        <v>31400</v>
      </c>
      <c r="H15" s="282">
        <f>H16+H18</f>
        <v>0</v>
      </c>
      <c r="I15" s="131">
        <f>G15/E15*100</f>
        <v>36.03450590839661</v>
      </c>
    </row>
    <row r="16" spans="1:9" ht="20.25" customHeight="1">
      <c r="A16" s="96"/>
      <c r="B16" s="74" t="s">
        <v>442</v>
      </c>
      <c r="C16" s="35"/>
      <c r="D16" s="200" t="s">
        <v>443</v>
      </c>
      <c r="E16" s="28">
        <f>E17</f>
        <v>5800</v>
      </c>
      <c r="F16" s="72"/>
      <c r="G16" s="28">
        <f>G17</f>
        <v>5400</v>
      </c>
      <c r="H16" s="128"/>
      <c r="I16" s="95">
        <f>G16/E16*100</f>
        <v>93.10344827586206</v>
      </c>
    </row>
    <row r="17" spans="1:9" ht="36.75" customHeight="1">
      <c r="A17" s="80"/>
      <c r="B17" s="283"/>
      <c r="C17" s="8">
        <v>2850</v>
      </c>
      <c r="D17" s="169" t="s">
        <v>444</v>
      </c>
      <c r="E17" s="87">
        <v>5800</v>
      </c>
      <c r="F17" s="126"/>
      <c r="G17" s="87">
        <v>5400</v>
      </c>
      <c r="H17" s="233"/>
      <c r="I17" s="95"/>
    </row>
    <row r="18" spans="1:9" ht="20.25" customHeight="1">
      <c r="A18" s="99"/>
      <c r="B18" s="46" t="s">
        <v>434</v>
      </c>
      <c r="C18" s="24"/>
      <c r="D18" s="174" t="s">
        <v>343</v>
      </c>
      <c r="E18" s="90">
        <f>SUM(E19:E24)</f>
        <v>81338.70000000001</v>
      </c>
      <c r="F18" s="90">
        <f>SUM(F19:F24)</f>
        <v>80838.70000000001</v>
      </c>
      <c r="G18" s="90">
        <f>SUM(G19:G24)</f>
        <v>26000</v>
      </c>
      <c r="H18" s="28">
        <f>SUM(H19:H24)</f>
        <v>0</v>
      </c>
      <c r="I18" s="289">
        <f>G18/E18*100</f>
        <v>31.965103941912027</v>
      </c>
    </row>
    <row r="19" spans="1:9" ht="16.5" customHeight="1">
      <c r="A19" s="99"/>
      <c r="B19" s="97"/>
      <c r="C19" s="2">
        <v>4010</v>
      </c>
      <c r="D19" s="169" t="s">
        <v>492</v>
      </c>
      <c r="E19" s="52">
        <v>626.88</v>
      </c>
      <c r="F19" s="52">
        <v>626.88</v>
      </c>
      <c r="G19" s="52"/>
      <c r="H19" s="26"/>
      <c r="I19" s="289"/>
    </row>
    <row r="20" spans="1:9" ht="16.5" customHeight="1">
      <c r="A20" s="99"/>
      <c r="B20" s="97"/>
      <c r="C20" s="2">
        <v>4110</v>
      </c>
      <c r="D20" s="169" t="s">
        <v>519</v>
      </c>
      <c r="E20" s="52">
        <v>107.76</v>
      </c>
      <c r="F20" s="52">
        <v>107.76</v>
      </c>
      <c r="G20" s="52"/>
      <c r="H20" s="26"/>
      <c r="I20" s="242"/>
    </row>
    <row r="21" spans="1:9" ht="16.5" customHeight="1">
      <c r="A21" s="99"/>
      <c r="B21" s="97"/>
      <c r="C21" s="2">
        <v>4120</v>
      </c>
      <c r="D21" s="169" t="s">
        <v>520</v>
      </c>
      <c r="E21" s="52">
        <v>15.36</v>
      </c>
      <c r="F21" s="52">
        <v>15.36</v>
      </c>
      <c r="G21" s="52"/>
      <c r="H21" s="26"/>
      <c r="I21" s="242"/>
    </row>
    <row r="22" spans="1:9" ht="16.5" customHeight="1">
      <c r="A22" s="79"/>
      <c r="B22" s="80"/>
      <c r="C22" s="8">
        <v>4210</v>
      </c>
      <c r="D22" s="169" t="s">
        <v>449</v>
      </c>
      <c r="E22" s="95">
        <f>175.19+41.13</f>
        <v>216.32</v>
      </c>
      <c r="F22" s="52">
        <f>175.19+41.13</f>
        <v>216.32</v>
      </c>
      <c r="G22" s="52">
        <v>13000</v>
      </c>
      <c r="H22" s="26"/>
      <c r="I22" s="242"/>
    </row>
    <row r="23" spans="1:9" ht="16.5" customHeight="1">
      <c r="A23" s="79"/>
      <c r="B23" s="80"/>
      <c r="C23" s="8">
        <v>4300</v>
      </c>
      <c r="D23" s="169" t="s">
        <v>446</v>
      </c>
      <c r="E23" s="95">
        <f>815.13+292.62</f>
        <v>1107.75</v>
      </c>
      <c r="F23" s="95">
        <f>315.13+292.62</f>
        <v>607.75</v>
      </c>
      <c r="G23" s="52">
        <v>13000</v>
      </c>
      <c r="H23" s="26"/>
      <c r="I23" s="242"/>
    </row>
    <row r="24" spans="1:9" ht="16.5" customHeight="1">
      <c r="A24" s="79"/>
      <c r="B24" s="80"/>
      <c r="C24" s="19">
        <v>4430</v>
      </c>
      <c r="D24" s="169" t="s">
        <v>540</v>
      </c>
      <c r="E24" s="52">
        <f>62577.31+16687.32</f>
        <v>79264.63</v>
      </c>
      <c r="F24" s="52">
        <f>62577.31+16687.32</f>
        <v>79264.63</v>
      </c>
      <c r="G24" s="52"/>
      <c r="H24" s="26"/>
      <c r="I24" s="241"/>
    </row>
    <row r="25" spans="1:9" ht="23.25" customHeight="1">
      <c r="A25" s="57">
        <v>600</v>
      </c>
      <c r="B25" s="57"/>
      <c r="C25" s="10"/>
      <c r="D25" s="173" t="s">
        <v>447</v>
      </c>
      <c r="E25" s="33">
        <f>E26+E30+E43</f>
        <v>22795363.380000003</v>
      </c>
      <c r="F25" s="87"/>
      <c r="G25" s="33">
        <f>G26+G30+G43</f>
        <v>15542617.46</v>
      </c>
      <c r="H25" s="127"/>
      <c r="I25" s="215">
        <f>G25/E25*100</f>
        <v>68.1832406042566</v>
      </c>
    </row>
    <row r="26" spans="1:9" ht="20.25" customHeight="1">
      <c r="A26" s="96"/>
      <c r="B26" s="98">
        <v>60004</v>
      </c>
      <c r="C26" s="24"/>
      <c r="D26" s="174" t="s">
        <v>313</v>
      </c>
      <c r="E26" s="90">
        <f>SUM(E27:E29)</f>
        <v>11346133.63</v>
      </c>
      <c r="F26" s="126"/>
      <c r="G26" s="90">
        <f>SUM(G27:G28)</f>
        <v>11495395.98</v>
      </c>
      <c r="H26" s="233"/>
      <c r="I26" s="289">
        <f>G26/E26*100</f>
        <v>101.31553492024226</v>
      </c>
    </row>
    <row r="27" spans="1:9" ht="30" customHeight="1">
      <c r="A27" s="79"/>
      <c r="B27" s="75"/>
      <c r="C27" s="8">
        <v>2650</v>
      </c>
      <c r="D27" s="169" t="s">
        <v>296</v>
      </c>
      <c r="E27" s="52">
        <v>11292633.63</v>
      </c>
      <c r="F27" s="126"/>
      <c r="G27" s="52">
        <v>11495395.98</v>
      </c>
      <c r="H27" s="233"/>
      <c r="I27" s="289"/>
    </row>
    <row r="28" spans="1:9" ht="21" customHeight="1">
      <c r="A28" s="79"/>
      <c r="B28" s="80"/>
      <c r="C28" s="8">
        <v>4300</v>
      </c>
      <c r="D28" s="169" t="s">
        <v>446</v>
      </c>
      <c r="E28" s="52">
        <v>40000</v>
      </c>
      <c r="F28" s="126"/>
      <c r="G28" s="52"/>
      <c r="H28" s="233"/>
      <c r="I28" s="242"/>
    </row>
    <row r="29" spans="1:9" ht="21" customHeight="1">
      <c r="A29" s="79"/>
      <c r="B29" s="85"/>
      <c r="C29" s="8">
        <v>6050</v>
      </c>
      <c r="D29" s="169" t="s">
        <v>221</v>
      </c>
      <c r="E29" s="52">
        <v>13500</v>
      </c>
      <c r="F29" s="126"/>
      <c r="G29" s="52"/>
      <c r="H29" s="233"/>
      <c r="I29" s="241"/>
    </row>
    <row r="30" spans="1:9" ht="22.5" customHeight="1">
      <c r="A30" s="99"/>
      <c r="B30" s="76">
        <v>60016</v>
      </c>
      <c r="C30" s="23"/>
      <c r="D30" s="174" t="s">
        <v>448</v>
      </c>
      <c r="E30" s="90">
        <f>SUM(E31:E42)</f>
        <v>11389229.75</v>
      </c>
      <c r="F30" s="126"/>
      <c r="G30" s="90">
        <f>SUM(G31:G42)</f>
        <v>3991621.48</v>
      </c>
      <c r="H30" s="233"/>
      <c r="I30" s="242">
        <f>G30/E30*100</f>
        <v>35.04733478574352</v>
      </c>
    </row>
    <row r="31" spans="1:9" ht="22.5" customHeight="1">
      <c r="A31" s="79"/>
      <c r="B31" s="80"/>
      <c r="C31" s="8">
        <v>4170</v>
      </c>
      <c r="D31" s="169" t="s">
        <v>526</v>
      </c>
      <c r="E31" s="52"/>
      <c r="F31" s="126"/>
      <c r="G31" s="52">
        <v>5000</v>
      </c>
      <c r="H31" s="233"/>
      <c r="I31" s="289"/>
    </row>
    <row r="32" spans="1:9" ht="22.5" customHeight="1">
      <c r="A32" s="79"/>
      <c r="B32" s="80"/>
      <c r="C32" s="8">
        <v>4210</v>
      </c>
      <c r="D32" s="169" t="s">
        <v>449</v>
      </c>
      <c r="E32" s="52"/>
      <c r="F32" s="126"/>
      <c r="G32" s="52">
        <v>125000</v>
      </c>
      <c r="H32" s="233"/>
      <c r="I32" s="242"/>
    </row>
    <row r="33" spans="1:9" ht="16.5" customHeight="1">
      <c r="A33" s="79"/>
      <c r="B33" s="80"/>
      <c r="C33" s="8">
        <v>4270</v>
      </c>
      <c r="D33" s="169" t="s">
        <v>450</v>
      </c>
      <c r="E33" s="52">
        <v>4168500</v>
      </c>
      <c r="F33" s="126"/>
      <c r="G33" s="52">
        <v>2300000</v>
      </c>
      <c r="H33" s="233"/>
      <c r="I33" s="242"/>
    </row>
    <row r="34" spans="1:9" ht="16.5" customHeight="1">
      <c r="A34" s="79"/>
      <c r="B34" s="80"/>
      <c r="C34" s="8">
        <v>4300</v>
      </c>
      <c r="D34" s="169" t="s">
        <v>446</v>
      </c>
      <c r="E34" s="52">
        <v>1305154.75</v>
      </c>
      <c r="F34" s="126"/>
      <c r="G34" s="52">
        <f>2000+1470121.48</f>
        <v>1472121.48</v>
      </c>
      <c r="H34" s="233"/>
      <c r="I34" s="242"/>
    </row>
    <row r="35" spans="1:9" ht="24" customHeight="1">
      <c r="A35" s="79"/>
      <c r="B35" s="80"/>
      <c r="C35" s="8">
        <v>4390</v>
      </c>
      <c r="D35" s="169" t="s">
        <v>220</v>
      </c>
      <c r="E35" s="52">
        <v>20000</v>
      </c>
      <c r="F35" s="126"/>
      <c r="G35" s="52">
        <f>20000+5000</f>
        <v>25000</v>
      </c>
      <c r="H35" s="233"/>
      <c r="I35" s="242"/>
    </row>
    <row r="36" spans="1:9" ht="16.5" customHeight="1">
      <c r="A36" s="79"/>
      <c r="B36" s="80"/>
      <c r="C36" s="19">
        <v>4430</v>
      </c>
      <c r="D36" s="169" t="s">
        <v>540</v>
      </c>
      <c r="E36" s="52">
        <v>25000</v>
      </c>
      <c r="F36" s="126"/>
      <c r="G36" s="52"/>
      <c r="H36" s="233"/>
      <c r="I36" s="242"/>
    </row>
    <row r="37" spans="1:9" ht="16.5" customHeight="1">
      <c r="A37" s="79"/>
      <c r="B37" s="80"/>
      <c r="C37" s="8">
        <v>4580</v>
      </c>
      <c r="D37" s="169" t="s">
        <v>359</v>
      </c>
      <c r="E37" s="52">
        <v>0</v>
      </c>
      <c r="F37" s="126"/>
      <c r="G37" s="52">
        <v>3000</v>
      </c>
      <c r="H37" s="233"/>
      <c r="I37" s="242"/>
    </row>
    <row r="38" spans="1:9" ht="24" customHeight="1">
      <c r="A38" s="79"/>
      <c r="B38" s="80"/>
      <c r="C38" s="8">
        <v>4590</v>
      </c>
      <c r="D38" s="169" t="s">
        <v>451</v>
      </c>
      <c r="E38" s="52">
        <v>0</v>
      </c>
      <c r="F38" s="126"/>
      <c r="G38" s="52">
        <v>10000</v>
      </c>
      <c r="H38" s="233"/>
      <c r="I38" s="242"/>
    </row>
    <row r="39" spans="1:9" ht="35.25" customHeight="1">
      <c r="A39" s="79"/>
      <c r="B39" s="80"/>
      <c r="C39" s="8">
        <v>4600</v>
      </c>
      <c r="D39" s="169" t="s">
        <v>403</v>
      </c>
      <c r="E39" s="52">
        <v>0</v>
      </c>
      <c r="F39" s="126"/>
      <c r="G39" s="52">
        <v>5000</v>
      </c>
      <c r="H39" s="233"/>
      <c r="I39" s="242"/>
    </row>
    <row r="40" spans="1:9" ht="30" customHeight="1">
      <c r="A40" s="79"/>
      <c r="B40" s="80"/>
      <c r="C40" s="8">
        <v>4610</v>
      </c>
      <c r="D40" s="169" t="s">
        <v>537</v>
      </c>
      <c r="E40" s="52">
        <v>1500</v>
      </c>
      <c r="F40" s="126"/>
      <c r="G40" s="52">
        <v>5000</v>
      </c>
      <c r="H40" s="233"/>
      <c r="I40" s="242"/>
    </row>
    <row r="41" spans="1:9" ht="24" customHeight="1">
      <c r="A41" s="79"/>
      <c r="B41" s="80"/>
      <c r="C41" s="8">
        <v>6050</v>
      </c>
      <c r="D41" s="169" t="s">
        <v>221</v>
      </c>
      <c r="E41" s="52">
        <v>5854075</v>
      </c>
      <c r="F41" s="126"/>
      <c r="G41" s="52">
        <f>41500</f>
        <v>41500</v>
      </c>
      <c r="H41" s="233"/>
      <c r="I41" s="242"/>
    </row>
    <row r="42" spans="1:9" ht="27.75" customHeight="1">
      <c r="A42" s="79"/>
      <c r="B42" s="80"/>
      <c r="C42" s="15">
        <v>6060</v>
      </c>
      <c r="D42" s="169" t="s">
        <v>538</v>
      </c>
      <c r="E42" s="52">
        <v>15000</v>
      </c>
      <c r="F42" s="126"/>
      <c r="G42" s="52"/>
      <c r="H42" s="233"/>
      <c r="I42" s="241"/>
    </row>
    <row r="43" spans="1:9" s="53" customFormat="1" ht="20.25" customHeight="1">
      <c r="A43" s="99"/>
      <c r="B43" s="46">
        <v>60095</v>
      </c>
      <c r="C43" s="23"/>
      <c r="D43" s="174" t="s">
        <v>343</v>
      </c>
      <c r="E43" s="90">
        <f>SUM(E44:E45)</f>
        <v>60000</v>
      </c>
      <c r="F43" s="225"/>
      <c r="G43" s="90">
        <f>SUM(G44:G45)</f>
        <v>55600</v>
      </c>
      <c r="H43" s="284"/>
      <c r="I43" s="242">
        <f>G43/E43*100</f>
        <v>92.66666666666666</v>
      </c>
    </row>
    <row r="44" spans="1:9" ht="16.5" customHeight="1">
      <c r="A44" s="79"/>
      <c r="B44" s="80"/>
      <c r="C44" s="8">
        <v>4300</v>
      </c>
      <c r="D44" s="169" t="s">
        <v>446</v>
      </c>
      <c r="E44" s="52">
        <v>59400</v>
      </c>
      <c r="F44" s="126"/>
      <c r="G44" s="52">
        <v>55000</v>
      </c>
      <c r="H44" s="233"/>
      <c r="I44" s="289"/>
    </row>
    <row r="45" spans="1:9" ht="27.75" customHeight="1">
      <c r="A45" s="79"/>
      <c r="B45" s="80"/>
      <c r="C45" s="8">
        <v>4610</v>
      </c>
      <c r="D45" s="169" t="s">
        <v>537</v>
      </c>
      <c r="E45" s="52">
        <v>600</v>
      </c>
      <c r="F45" s="126"/>
      <c r="G45" s="52">
        <v>600</v>
      </c>
      <c r="H45" s="233"/>
      <c r="I45" s="241"/>
    </row>
    <row r="46" spans="1:9" ht="24" customHeight="1">
      <c r="A46" s="57">
        <v>700</v>
      </c>
      <c r="B46" s="57"/>
      <c r="C46" s="10"/>
      <c r="D46" s="173" t="s">
        <v>372</v>
      </c>
      <c r="E46" s="33">
        <f>E47+E63</f>
        <v>18602077.89</v>
      </c>
      <c r="F46" s="52"/>
      <c r="G46" s="33">
        <f>G47+G63</f>
        <v>13756493</v>
      </c>
      <c r="H46" s="26"/>
      <c r="I46" s="215">
        <f>G46/E46*100</f>
        <v>73.95137834249763</v>
      </c>
    </row>
    <row r="47" spans="1:9" ht="20.25" customHeight="1">
      <c r="A47" s="96"/>
      <c r="B47" s="46">
        <v>70005</v>
      </c>
      <c r="C47" s="23"/>
      <c r="D47" s="174" t="s">
        <v>427</v>
      </c>
      <c r="E47" s="90">
        <f>SUM(E48:E62)</f>
        <v>16881289</v>
      </c>
      <c r="F47" s="126"/>
      <c r="G47" s="90">
        <f>SUM(G48:G62)</f>
        <v>13705493</v>
      </c>
      <c r="H47" s="233"/>
      <c r="I47" s="289">
        <f>G47/E47*100</f>
        <v>81.1874792262605</v>
      </c>
    </row>
    <row r="48" spans="1:9" ht="16.5" customHeight="1">
      <c r="A48" s="79"/>
      <c r="B48" s="80"/>
      <c r="C48" s="8">
        <v>4210</v>
      </c>
      <c r="D48" s="169" t="s">
        <v>449</v>
      </c>
      <c r="E48" s="52">
        <v>16200</v>
      </c>
      <c r="F48" s="126"/>
      <c r="G48" s="52">
        <v>7500</v>
      </c>
      <c r="H48" s="233"/>
      <c r="I48" s="289"/>
    </row>
    <row r="49" spans="1:9" ht="16.5" customHeight="1">
      <c r="A49" s="79"/>
      <c r="B49" s="80"/>
      <c r="C49" s="19">
        <v>4260</v>
      </c>
      <c r="D49" s="201" t="s">
        <v>528</v>
      </c>
      <c r="E49" s="52">
        <v>4693890</v>
      </c>
      <c r="F49" s="126"/>
      <c r="G49" s="52">
        <v>4725700</v>
      </c>
      <c r="H49" s="233"/>
      <c r="I49" s="242"/>
    </row>
    <row r="50" spans="1:9" ht="16.5" customHeight="1">
      <c r="A50" s="79"/>
      <c r="B50" s="80"/>
      <c r="C50" s="8">
        <v>4270</v>
      </c>
      <c r="D50" s="169" t="s">
        <v>450</v>
      </c>
      <c r="E50" s="52">
        <v>1838350</v>
      </c>
      <c r="F50" s="126"/>
      <c r="G50" s="52">
        <v>1735900</v>
      </c>
      <c r="H50" s="233"/>
      <c r="I50" s="242"/>
    </row>
    <row r="51" spans="1:9" ht="16.5" customHeight="1">
      <c r="A51" s="79"/>
      <c r="B51" s="80"/>
      <c r="C51" s="15">
        <v>4300</v>
      </c>
      <c r="D51" s="169" t="s">
        <v>428</v>
      </c>
      <c r="E51" s="52">
        <v>4116659</v>
      </c>
      <c r="F51" s="126"/>
      <c r="G51" s="52">
        <f>85000+4023600+82250</f>
        <v>4190850</v>
      </c>
      <c r="H51" s="233"/>
      <c r="I51" s="242"/>
    </row>
    <row r="52" spans="1:9" ht="24" customHeight="1">
      <c r="A52" s="79"/>
      <c r="B52" s="80"/>
      <c r="C52" s="2">
        <v>4390</v>
      </c>
      <c r="D52" s="169" t="s">
        <v>143</v>
      </c>
      <c r="E52" s="52">
        <v>3075</v>
      </c>
      <c r="F52" s="126"/>
      <c r="G52" s="52"/>
      <c r="H52" s="233"/>
      <c r="I52" s="242"/>
    </row>
    <row r="53" spans="1:9" ht="16.5" customHeight="1">
      <c r="A53" s="79"/>
      <c r="B53" s="80"/>
      <c r="C53" s="19">
        <v>4430</v>
      </c>
      <c r="D53" s="169" t="s">
        <v>540</v>
      </c>
      <c r="E53" s="52">
        <v>58500</v>
      </c>
      <c r="F53" s="126"/>
      <c r="G53" s="52">
        <f>5370+38800</f>
        <v>44170</v>
      </c>
      <c r="H53" s="233"/>
      <c r="I53" s="242"/>
    </row>
    <row r="54" spans="1:9" ht="16.5" customHeight="1">
      <c r="A54" s="79"/>
      <c r="B54" s="80"/>
      <c r="C54" s="8">
        <v>4480</v>
      </c>
      <c r="D54" s="169" t="s">
        <v>367</v>
      </c>
      <c r="E54" s="52">
        <v>1461000</v>
      </c>
      <c r="F54" s="126"/>
      <c r="G54" s="52">
        <v>80000</v>
      </c>
      <c r="H54" s="233"/>
      <c r="I54" s="242"/>
    </row>
    <row r="55" spans="1:9" ht="24" customHeight="1">
      <c r="A55" s="79"/>
      <c r="B55" s="80"/>
      <c r="C55" s="8">
        <v>4500</v>
      </c>
      <c r="D55" s="169" t="s">
        <v>119</v>
      </c>
      <c r="E55" s="52">
        <v>3000</v>
      </c>
      <c r="F55" s="126"/>
      <c r="G55" s="52">
        <v>3000</v>
      </c>
      <c r="H55" s="233"/>
      <c r="I55" s="242"/>
    </row>
    <row r="56" spans="1:9" ht="27.75" customHeight="1">
      <c r="A56" s="79"/>
      <c r="B56" s="80"/>
      <c r="C56" s="8">
        <v>4520</v>
      </c>
      <c r="D56" s="169" t="s">
        <v>333</v>
      </c>
      <c r="E56" s="52">
        <v>354700</v>
      </c>
      <c r="F56" s="126"/>
      <c r="G56" s="52">
        <v>346200</v>
      </c>
      <c r="H56" s="233"/>
      <c r="I56" s="242"/>
    </row>
    <row r="57" spans="1:9" ht="16.5" customHeight="1">
      <c r="A57" s="79"/>
      <c r="B57" s="80"/>
      <c r="C57" s="8">
        <v>4530</v>
      </c>
      <c r="D57" s="169" t="s">
        <v>230</v>
      </c>
      <c r="E57" s="52">
        <v>81900</v>
      </c>
      <c r="F57" s="126"/>
      <c r="G57" s="52">
        <f>115000+31000</f>
        <v>146000</v>
      </c>
      <c r="H57" s="233"/>
      <c r="I57" s="242"/>
    </row>
    <row r="58" spans="1:9" ht="16.5" customHeight="1">
      <c r="A58" s="79"/>
      <c r="B58" s="80"/>
      <c r="C58" s="8">
        <v>4580</v>
      </c>
      <c r="D58" s="169" t="s">
        <v>359</v>
      </c>
      <c r="E58" s="52"/>
      <c r="F58" s="126"/>
      <c r="G58" s="52">
        <v>6000</v>
      </c>
      <c r="H58" s="233"/>
      <c r="I58" s="242"/>
    </row>
    <row r="59" spans="1:9" ht="24" customHeight="1">
      <c r="A59" s="79"/>
      <c r="B59" s="80"/>
      <c r="C59" s="8">
        <v>4590</v>
      </c>
      <c r="D59" s="169" t="s">
        <v>451</v>
      </c>
      <c r="E59" s="52">
        <v>2318934</v>
      </c>
      <c r="F59" s="126"/>
      <c r="G59" s="52">
        <f>350000+20000+423000</f>
        <v>793000</v>
      </c>
      <c r="H59" s="233"/>
      <c r="I59" s="242"/>
    </row>
    <row r="60" spans="1:9" ht="37.5" customHeight="1">
      <c r="A60" s="79"/>
      <c r="B60" s="80"/>
      <c r="C60" s="8">
        <v>4600</v>
      </c>
      <c r="D60" s="169" t="s">
        <v>403</v>
      </c>
      <c r="E60" s="52">
        <v>949050</v>
      </c>
      <c r="F60" s="126"/>
      <c r="G60" s="52">
        <f>739380+19000</f>
        <v>758380</v>
      </c>
      <c r="H60" s="233"/>
      <c r="I60" s="242"/>
    </row>
    <row r="61" spans="1:9" ht="24" customHeight="1">
      <c r="A61" s="79"/>
      <c r="B61" s="80"/>
      <c r="C61" s="8">
        <v>4610</v>
      </c>
      <c r="D61" s="169" t="s">
        <v>294</v>
      </c>
      <c r="E61" s="52">
        <v>174526</v>
      </c>
      <c r="F61" s="126"/>
      <c r="G61" s="52">
        <f>5000+214000</f>
        <v>219000</v>
      </c>
      <c r="H61" s="233"/>
      <c r="I61" s="242"/>
    </row>
    <row r="62" spans="1:9" ht="24" customHeight="1">
      <c r="A62" s="79"/>
      <c r="B62" s="80"/>
      <c r="C62" s="15">
        <v>6060</v>
      </c>
      <c r="D62" s="169" t="s">
        <v>538</v>
      </c>
      <c r="E62" s="52">
        <v>811505</v>
      </c>
      <c r="F62" s="126"/>
      <c r="G62" s="52">
        <f>299793+50000+300000</f>
        <v>649793</v>
      </c>
      <c r="H62" s="233"/>
      <c r="I62" s="241"/>
    </row>
    <row r="63" spans="1:9" ht="20.25" customHeight="1">
      <c r="A63" s="97"/>
      <c r="B63" s="46">
        <v>70095</v>
      </c>
      <c r="C63" s="24"/>
      <c r="D63" s="200" t="s">
        <v>343</v>
      </c>
      <c r="E63" s="90">
        <f>SUM(E64:E71)</f>
        <v>1720788.89</v>
      </c>
      <c r="F63" s="126"/>
      <c r="G63" s="90">
        <f>SUM(G64:G71)</f>
        <v>51000</v>
      </c>
      <c r="H63" s="233"/>
      <c r="I63" s="242">
        <f>G63/E63*100</f>
        <v>2.963756931275864</v>
      </c>
    </row>
    <row r="64" spans="1:9" ht="16.5" customHeight="1">
      <c r="A64" s="97"/>
      <c r="B64" s="285"/>
      <c r="C64" s="8">
        <v>4170</v>
      </c>
      <c r="D64" s="169" t="s">
        <v>526</v>
      </c>
      <c r="E64" s="52">
        <v>29700</v>
      </c>
      <c r="F64" s="126"/>
      <c r="G64" s="52"/>
      <c r="H64" s="233"/>
      <c r="I64" s="289"/>
    </row>
    <row r="65" spans="1:9" ht="16.5" customHeight="1">
      <c r="A65" s="80"/>
      <c r="B65" s="283"/>
      <c r="C65" s="15">
        <v>4300</v>
      </c>
      <c r="D65" s="169" t="s">
        <v>428</v>
      </c>
      <c r="E65" s="52">
        <v>15400</v>
      </c>
      <c r="F65" s="126"/>
      <c r="G65" s="52"/>
      <c r="H65" s="233"/>
      <c r="I65" s="242"/>
    </row>
    <row r="66" spans="1:9" ht="16.5" customHeight="1">
      <c r="A66" s="80"/>
      <c r="B66" s="283"/>
      <c r="C66" s="15">
        <v>4430</v>
      </c>
      <c r="D66" s="169" t="s">
        <v>540</v>
      </c>
      <c r="E66" s="52">
        <v>47500</v>
      </c>
      <c r="F66" s="126"/>
      <c r="G66" s="52">
        <v>51000</v>
      </c>
      <c r="H66" s="233"/>
      <c r="I66" s="242"/>
    </row>
    <row r="67" spans="1:9" ht="16.5" customHeight="1">
      <c r="A67" s="80"/>
      <c r="B67" s="283"/>
      <c r="C67" s="8">
        <v>4580</v>
      </c>
      <c r="D67" s="169" t="s">
        <v>359</v>
      </c>
      <c r="E67" s="52">
        <v>8000</v>
      </c>
      <c r="F67" s="126"/>
      <c r="G67" s="52"/>
      <c r="H67" s="233"/>
      <c r="I67" s="242"/>
    </row>
    <row r="68" spans="1:9" ht="24" customHeight="1">
      <c r="A68" s="80"/>
      <c r="B68" s="283"/>
      <c r="C68" s="8">
        <v>4590</v>
      </c>
      <c r="D68" s="169" t="s">
        <v>451</v>
      </c>
      <c r="E68" s="52">
        <v>35000</v>
      </c>
      <c r="F68" s="126"/>
      <c r="G68" s="52"/>
      <c r="H68" s="233"/>
      <c r="I68" s="242"/>
    </row>
    <row r="69" spans="1:9" ht="34.5" customHeight="1">
      <c r="A69" s="80"/>
      <c r="B69" s="283"/>
      <c r="C69" s="8">
        <v>4600</v>
      </c>
      <c r="D69" s="169" t="s">
        <v>403</v>
      </c>
      <c r="E69" s="52">
        <v>5500</v>
      </c>
      <c r="F69" s="126"/>
      <c r="G69" s="52"/>
      <c r="H69" s="233"/>
      <c r="I69" s="242"/>
    </row>
    <row r="70" spans="1:9" ht="27.75" customHeight="1">
      <c r="A70" s="80"/>
      <c r="B70" s="283"/>
      <c r="C70" s="8">
        <v>4610</v>
      </c>
      <c r="D70" s="169" t="s">
        <v>537</v>
      </c>
      <c r="E70" s="52">
        <v>49000</v>
      </c>
      <c r="F70" s="126"/>
      <c r="G70" s="52"/>
      <c r="H70" s="233"/>
      <c r="I70" s="242"/>
    </row>
    <row r="71" spans="1:9" ht="53.25" customHeight="1">
      <c r="A71" s="80"/>
      <c r="B71" s="283"/>
      <c r="C71" s="8">
        <v>6010</v>
      </c>
      <c r="D71" s="169" t="s">
        <v>481</v>
      </c>
      <c r="E71" s="52">
        <v>1530688.89</v>
      </c>
      <c r="F71" s="126"/>
      <c r="G71" s="52"/>
      <c r="H71" s="233"/>
      <c r="I71" s="241"/>
    </row>
    <row r="72" spans="1:9" ht="24" customHeight="1">
      <c r="A72" s="57">
        <v>710</v>
      </c>
      <c r="B72" s="57"/>
      <c r="C72" s="10"/>
      <c r="D72" s="173" t="s">
        <v>352</v>
      </c>
      <c r="E72" s="33">
        <f>E73+E77+E79+E81+E83</f>
        <v>388649.7</v>
      </c>
      <c r="F72" s="52"/>
      <c r="G72" s="33">
        <f>G73+G77+G79+G81+G83</f>
        <v>334240</v>
      </c>
      <c r="H72" s="26"/>
      <c r="I72" s="215">
        <f>G72/E72*100</f>
        <v>86.00032368479893</v>
      </c>
    </row>
    <row r="73" spans="1:9" ht="20.25" customHeight="1">
      <c r="A73" s="97"/>
      <c r="B73" s="96">
        <v>71004</v>
      </c>
      <c r="C73" s="24"/>
      <c r="D73" s="174" t="s">
        <v>541</v>
      </c>
      <c r="E73" s="90">
        <f>SUM(E74:E76)</f>
        <v>241999.7</v>
      </c>
      <c r="F73" s="126"/>
      <c r="G73" s="90">
        <f>SUM(G74:G76)</f>
        <v>267240</v>
      </c>
      <c r="H73" s="233"/>
      <c r="I73" s="289">
        <f>G73/E73*100</f>
        <v>110.42988896267228</v>
      </c>
    </row>
    <row r="74" spans="1:9" ht="16.5" customHeight="1">
      <c r="A74" s="79"/>
      <c r="B74" s="75"/>
      <c r="C74" s="8">
        <v>4170</v>
      </c>
      <c r="D74" s="169" t="s">
        <v>526</v>
      </c>
      <c r="E74" s="52">
        <v>67000</v>
      </c>
      <c r="F74" s="126"/>
      <c r="G74" s="52">
        <v>10000</v>
      </c>
      <c r="H74" s="233"/>
      <c r="I74" s="289"/>
    </row>
    <row r="75" spans="1:9" ht="16.5" customHeight="1">
      <c r="A75" s="79"/>
      <c r="B75" s="80"/>
      <c r="C75" s="8">
        <v>4300</v>
      </c>
      <c r="D75" s="169" t="s">
        <v>428</v>
      </c>
      <c r="E75" s="52">
        <v>174549.7</v>
      </c>
      <c r="F75" s="126"/>
      <c r="G75" s="52">
        <v>257240</v>
      </c>
      <c r="H75" s="233"/>
      <c r="I75" s="242"/>
    </row>
    <row r="76" spans="1:9" ht="24" customHeight="1">
      <c r="A76" s="79"/>
      <c r="B76" s="80"/>
      <c r="C76" s="8">
        <v>4390</v>
      </c>
      <c r="D76" s="169" t="s">
        <v>354</v>
      </c>
      <c r="E76" s="52">
        <v>450</v>
      </c>
      <c r="F76" s="126"/>
      <c r="G76" s="52"/>
      <c r="H76" s="233"/>
      <c r="I76" s="241"/>
    </row>
    <row r="77" spans="1:9" ht="24" customHeight="1">
      <c r="A77" s="79"/>
      <c r="B77" s="24">
        <v>71012</v>
      </c>
      <c r="C77" s="138"/>
      <c r="D77" s="174" t="s">
        <v>407</v>
      </c>
      <c r="E77" s="90">
        <f>SUM(E78:E78)</f>
        <v>0</v>
      </c>
      <c r="F77" s="225"/>
      <c r="G77" s="90">
        <f>SUM(G78:G78)</f>
        <v>10000</v>
      </c>
      <c r="H77" s="284"/>
      <c r="I77" s="241"/>
    </row>
    <row r="78" spans="1:9" ht="24" customHeight="1">
      <c r="A78" s="79"/>
      <c r="B78" s="80"/>
      <c r="C78" s="8">
        <v>4300</v>
      </c>
      <c r="D78" s="169" t="s">
        <v>428</v>
      </c>
      <c r="E78" s="52"/>
      <c r="F78" s="126"/>
      <c r="G78" s="52">
        <v>10000</v>
      </c>
      <c r="H78" s="233"/>
      <c r="I78" s="95"/>
    </row>
    <row r="79" spans="1:9" s="53" customFormat="1" ht="24" customHeight="1">
      <c r="A79" s="99"/>
      <c r="B79" s="46">
        <v>71014</v>
      </c>
      <c r="C79" s="23"/>
      <c r="D79" s="174" t="s">
        <v>543</v>
      </c>
      <c r="E79" s="90">
        <f>E80</f>
        <v>89650</v>
      </c>
      <c r="F79" s="225"/>
      <c r="G79" s="90">
        <f>G80</f>
        <v>0</v>
      </c>
      <c r="H79" s="284"/>
      <c r="I79" s="95"/>
    </row>
    <row r="80" spans="1:9" ht="16.5" customHeight="1">
      <c r="A80" s="79"/>
      <c r="B80" s="80"/>
      <c r="C80" s="15">
        <v>4300</v>
      </c>
      <c r="D80" s="169" t="s">
        <v>489</v>
      </c>
      <c r="E80" s="52">
        <v>89650</v>
      </c>
      <c r="F80" s="126"/>
      <c r="G80" s="52"/>
      <c r="H80" s="233"/>
      <c r="I80" s="95"/>
    </row>
    <row r="81" spans="1:9" s="53" customFormat="1" ht="20.25" customHeight="1">
      <c r="A81" s="97"/>
      <c r="B81" s="46">
        <v>71035</v>
      </c>
      <c r="C81" s="24"/>
      <c r="D81" s="174" t="s">
        <v>490</v>
      </c>
      <c r="E81" s="90">
        <f>SUM(E82:E82)</f>
        <v>7000</v>
      </c>
      <c r="F81" s="225"/>
      <c r="G81" s="90">
        <f>SUM(G82:G82)</f>
        <v>7000</v>
      </c>
      <c r="H81" s="284"/>
      <c r="I81" s="95">
        <f>G81/E81*100</f>
        <v>100</v>
      </c>
    </row>
    <row r="82" spans="1:9" ht="16.5" customHeight="1">
      <c r="A82" s="79"/>
      <c r="B82" s="97"/>
      <c r="C82" s="8">
        <v>4300</v>
      </c>
      <c r="D82" s="169" t="s">
        <v>446</v>
      </c>
      <c r="E82" s="52">
        <v>7000</v>
      </c>
      <c r="F82" s="126"/>
      <c r="G82" s="52">
        <v>7000</v>
      </c>
      <c r="H82" s="233"/>
      <c r="I82" s="95"/>
    </row>
    <row r="83" spans="1:9" ht="20.25" customHeight="1">
      <c r="A83" s="79"/>
      <c r="B83" s="46">
        <v>71095</v>
      </c>
      <c r="C83" s="8"/>
      <c r="D83" s="174" t="s">
        <v>343</v>
      </c>
      <c r="E83" s="26">
        <f>SUM(E84)</f>
        <v>50000</v>
      </c>
      <c r="F83" s="126"/>
      <c r="G83" s="26">
        <f>SUM(G84)</f>
        <v>50000</v>
      </c>
      <c r="H83" s="233"/>
      <c r="I83" s="95">
        <f>G83/E83*100</f>
        <v>100</v>
      </c>
    </row>
    <row r="84" spans="1:9" ht="16.5" customHeight="1">
      <c r="A84" s="79"/>
      <c r="B84" s="97"/>
      <c r="C84" s="8">
        <v>4300</v>
      </c>
      <c r="D84" s="169" t="s">
        <v>446</v>
      </c>
      <c r="E84" s="26">
        <v>50000</v>
      </c>
      <c r="F84" s="126"/>
      <c r="G84" s="26">
        <v>50000</v>
      </c>
      <c r="H84" s="233"/>
      <c r="I84" s="95"/>
    </row>
    <row r="85" spans="1:9" ht="24.75" customHeight="1">
      <c r="A85" s="57">
        <v>750</v>
      </c>
      <c r="B85" s="57"/>
      <c r="C85" s="10"/>
      <c r="D85" s="173" t="s">
        <v>344</v>
      </c>
      <c r="E85" s="83">
        <f>E86+E92+E97+E125+E131</f>
        <v>31743794.5</v>
      </c>
      <c r="F85" s="33">
        <f>F86+F92+F97+F125+F131</f>
        <v>839553.9999999999</v>
      </c>
      <c r="G85" s="83">
        <f>G86+G92+G97+G125+G131</f>
        <v>31565198</v>
      </c>
      <c r="H85" s="83">
        <f>H86+H92+H97+H125+H131</f>
        <v>594006</v>
      </c>
      <c r="I85" s="131">
        <f>G85/E85*100</f>
        <v>99.43738137543701</v>
      </c>
    </row>
    <row r="86" spans="1:9" ht="20.25" customHeight="1">
      <c r="A86" s="100"/>
      <c r="B86" s="74">
        <v>75011</v>
      </c>
      <c r="C86" s="24"/>
      <c r="D86" s="174" t="s">
        <v>491</v>
      </c>
      <c r="E86" s="90">
        <f>SUM(E87:E91)</f>
        <v>1823904</v>
      </c>
      <c r="F86" s="90">
        <f>SUM(F87:F91)</f>
        <v>839553.9999999999</v>
      </c>
      <c r="G86" s="90">
        <f>SUM(G87:G91)</f>
        <v>594006</v>
      </c>
      <c r="H86" s="28">
        <f>SUM(H87:H91)</f>
        <v>594006</v>
      </c>
      <c r="I86" s="95">
        <f>G86/E86*100</f>
        <v>32.567832517500925</v>
      </c>
    </row>
    <row r="87" spans="1:9" ht="16.5" customHeight="1">
      <c r="A87" s="100"/>
      <c r="B87" s="286"/>
      <c r="C87" s="2">
        <v>4010</v>
      </c>
      <c r="D87" s="169" t="s">
        <v>492</v>
      </c>
      <c r="E87" s="52">
        <f>1242200.18+165497</f>
        <v>1407697.18</v>
      </c>
      <c r="F87" s="52">
        <f>511297.18+165497</f>
        <v>676794.1799999999</v>
      </c>
      <c r="G87" s="52">
        <v>349163</v>
      </c>
      <c r="H87" s="52">
        <v>349163</v>
      </c>
      <c r="I87" s="289">
        <f>G87/E87*100</f>
        <v>24.803843110632645</v>
      </c>
    </row>
    <row r="88" spans="1:9" ht="16.5" customHeight="1">
      <c r="A88" s="100"/>
      <c r="B88" s="286"/>
      <c r="C88" s="2">
        <v>4040</v>
      </c>
      <c r="D88" s="169" t="s">
        <v>493</v>
      </c>
      <c r="E88" s="52">
        <v>103000</v>
      </c>
      <c r="F88" s="52">
        <v>29750</v>
      </c>
      <c r="G88" s="52">
        <v>111600</v>
      </c>
      <c r="H88" s="26">
        <v>111600</v>
      </c>
      <c r="I88" s="289"/>
    </row>
    <row r="89" spans="1:9" ht="16.5" customHeight="1">
      <c r="A89" s="100"/>
      <c r="B89" s="286"/>
      <c r="C89" s="2">
        <v>4110</v>
      </c>
      <c r="D89" s="169" t="s">
        <v>519</v>
      </c>
      <c r="E89" s="52">
        <f>221351+28449</f>
        <v>249800</v>
      </c>
      <c r="F89" s="52">
        <f>64990+28449</f>
        <v>93439</v>
      </c>
      <c r="G89" s="52">
        <v>79205</v>
      </c>
      <c r="H89" s="26">
        <v>79205</v>
      </c>
      <c r="I89" s="242"/>
    </row>
    <row r="90" spans="1:9" ht="16.5" customHeight="1">
      <c r="A90" s="100"/>
      <c r="B90" s="286"/>
      <c r="C90" s="2">
        <v>4120</v>
      </c>
      <c r="D90" s="169" t="s">
        <v>520</v>
      </c>
      <c r="E90" s="52">
        <f>30546+4054</f>
        <v>34600</v>
      </c>
      <c r="F90" s="52">
        <f>10480+4054</f>
        <v>14534</v>
      </c>
      <c r="G90" s="52">
        <v>11288</v>
      </c>
      <c r="H90" s="26">
        <v>11288</v>
      </c>
      <c r="I90" s="242"/>
    </row>
    <row r="91" spans="1:9" ht="24" customHeight="1">
      <c r="A91" s="100"/>
      <c r="B91" s="286"/>
      <c r="C91" s="2">
        <v>4440</v>
      </c>
      <c r="D91" s="169" t="s">
        <v>521</v>
      </c>
      <c r="E91" s="52">
        <v>28806.82</v>
      </c>
      <c r="F91" s="72">
        <v>25036.82</v>
      </c>
      <c r="G91" s="52">
        <v>42750</v>
      </c>
      <c r="H91" s="26">
        <v>42750</v>
      </c>
      <c r="I91" s="241"/>
    </row>
    <row r="92" spans="1:9" ht="24.75" customHeight="1">
      <c r="A92" s="97"/>
      <c r="B92" s="74">
        <v>75022</v>
      </c>
      <c r="C92" s="24"/>
      <c r="D92" s="174" t="s">
        <v>522</v>
      </c>
      <c r="E92" s="90">
        <f>SUM(E93:E96)</f>
        <v>436500</v>
      </c>
      <c r="F92" s="72"/>
      <c r="G92" s="90">
        <f>SUM(G93:G96)</f>
        <v>450000</v>
      </c>
      <c r="H92" s="128"/>
      <c r="I92" s="242">
        <f>G92/E92*100</f>
        <v>103.09278350515463</v>
      </c>
    </row>
    <row r="93" spans="1:9" ht="16.5" customHeight="1">
      <c r="A93" s="80"/>
      <c r="B93" s="286"/>
      <c r="C93" s="2">
        <v>3030</v>
      </c>
      <c r="D93" s="169" t="s">
        <v>542</v>
      </c>
      <c r="E93" s="52">
        <v>395000</v>
      </c>
      <c r="F93" s="126"/>
      <c r="G93" s="52">
        <v>416000</v>
      </c>
      <c r="H93" s="233"/>
      <c r="I93" s="289"/>
    </row>
    <row r="94" spans="1:9" ht="16.5" customHeight="1">
      <c r="A94" s="80"/>
      <c r="B94" s="286"/>
      <c r="C94" s="2">
        <v>4210</v>
      </c>
      <c r="D94" s="169" t="s">
        <v>449</v>
      </c>
      <c r="E94" s="52">
        <v>17000</v>
      </c>
      <c r="F94" s="126"/>
      <c r="G94" s="52">
        <v>10000</v>
      </c>
      <c r="H94" s="233"/>
      <c r="I94" s="242"/>
    </row>
    <row r="95" spans="1:9" ht="16.5" customHeight="1">
      <c r="A95" s="80"/>
      <c r="B95" s="286"/>
      <c r="C95" s="2">
        <v>4300</v>
      </c>
      <c r="D95" s="169" t="s">
        <v>446</v>
      </c>
      <c r="E95" s="52">
        <v>23100</v>
      </c>
      <c r="F95" s="126"/>
      <c r="G95" s="52">
        <v>23000</v>
      </c>
      <c r="H95" s="233"/>
      <c r="I95" s="242"/>
    </row>
    <row r="96" spans="1:9" ht="16.5" customHeight="1">
      <c r="A96" s="80"/>
      <c r="B96" s="286"/>
      <c r="C96" s="2">
        <v>4430</v>
      </c>
      <c r="D96" s="169" t="s">
        <v>540</v>
      </c>
      <c r="E96" s="41">
        <v>1400</v>
      </c>
      <c r="F96" s="126"/>
      <c r="G96" s="41">
        <v>1000</v>
      </c>
      <c r="H96" s="233"/>
      <c r="I96" s="241"/>
    </row>
    <row r="97" spans="1:9" ht="24.75" customHeight="1">
      <c r="A97" s="97"/>
      <c r="B97" s="46">
        <v>75023</v>
      </c>
      <c r="C97" s="24"/>
      <c r="D97" s="174" t="s">
        <v>424</v>
      </c>
      <c r="E97" s="38">
        <f>SUM(E98:E124)</f>
        <v>28658080</v>
      </c>
      <c r="F97" s="126"/>
      <c r="G97" s="38">
        <f>SUM(G98:G124)</f>
        <v>29788552</v>
      </c>
      <c r="H97" s="233"/>
      <c r="I97" s="242">
        <f>G97/E97*100</f>
        <v>103.94468854856991</v>
      </c>
    </row>
    <row r="98" spans="1:9" ht="25.5" customHeight="1">
      <c r="A98" s="79"/>
      <c r="B98" s="80"/>
      <c r="C98" s="15">
        <v>3020</v>
      </c>
      <c r="D98" s="169" t="s">
        <v>525</v>
      </c>
      <c r="E98" s="52">
        <v>161200</v>
      </c>
      <c r="F98" s="126"/>
      <c r="G98" s="52">
        <f>60000+103500+20700</f>
        <v>184200</v>
      </c>
      <c r="H98" s="233"/>
      <c r="I98" s="289"/>
    </row>
    <row r="99" spans="1:9" ht="16.5" customHeight="1">
      <c r="A99" s="79"/>
      <c r="B99" s="80"/>
      <c r="C99" s="8">
        <v>4010</v>
      </c>
      <c r="D99" s="169" t="s">
        <v>492</v>
      </c>
      <c r="E99" s="52">
        <v>17639946.8</v>
      </c>
      <c r="F99" s="126"/>
      <c r="G99" s="52">
        <f>2266762+15485992+50000</f>
        <v>17802754</v>
      </c>
      <c r="H99" s="233"/>
      <c r="I99" s="242"/>
    </row>
    <row r="100" spans="1:9" ht="16.5" customHeight="1">
      <c r="A100" s="79"/>
      <c r="B100" s="80"/>
      <c r="C100" s="8">
        <v>4040</v>
      </c>
      <c r="D100" s="169" t="s">
        <v>493</v>
      </c>
      <c r="E100" s="52">
        <v>1275655</v>
      </c>
      <c r="F100" s="126"/>
      <c r="G100" s="52">
        <f>178142+1190000</f>
        <v>1368142</v>
      </c>
      <c r="H100" s="233"/>
      <c r="I100" s="242"/>
    </row>
    <row r="101" spans="1:9" ht="16.5" customHeight="1">
      <c r="A101" s="79"/>
      <c r="B101" s="80"/>
      <c r="C101" s="8">
        <v>4110</v>
      </c>
      <c r="D101" s="169" t="s">
        <v>519</v>
      </c>
      <c r="E101" s="52">
        <v>3005787</v>
      </c>
      <c r="F101" s="126"/>
      <c r="G101" s="52">
        <f>800+404125+2880627</f>
        <v>3285552</v>
      </c>
      <c r="H101" s="233"/>
      <c r="I101" s="242"/>
    </row>
    <row r="102" spans="1:9" ht="16.5" customHeight="1">
      <c r="A102" s="79"/>
      <c r="B102" s="80"/>
      <c r="C102" s="8">
        <v>4120</v>
      </c>
      <c r="D102" s="169" t="s">
        <v>520</v>
      </c>
      <c r="E102" s="52">
        <v>402577</v>
      </c>
      <c r="F102" s="126"/>
      <c r="G102" s="52">
        <f>51000+405113</f>
        <v>456113</v>
      </c>
      <c r="H102" s="233"/>
      <c r="I102" s="242"/>
    </row>
    <row r="103" spans="1:9" ht="24" customHeight="1">
      <c r="A103" s="79"/>
      <c r="B103" s="80"/>
      <c r="C103" s="15">
        <v>4140</v>
      </c>
      <c r="D103" s="169" t="s">
        <v>320</v>
      </c>
      <c r="E103" s="52">
        <v>15000</v>
      </c>
      <c r="F103" s="126"/>
      <c r="G103" s="52">
        <f>1000+10000</f>
        <v>11000</v>
      </c>
      <c r="H103" s="233"/>
      <c r="I103" s="242"/>
    </row>
    <row r="104" spans="1:9" ht="16.5" customHeight="1">
      <c r="A104" s="79"/>
      <c r="B104" s="80"/>
      <c r="C104" s="8">
        <v>4170</v>
      </c>
      <c r="D104" s="169" t="s">
        <v>526</v>
      </c>
      <c r="E104" s="52">
        <v>133000</v>
      </c>
      <c r="F104" s="126"/>
      <c r="G104" s="52">
        <f>8000+60000+50000</f>
        <v>118000</v>
      </c>
      <c r="H104" s="233"/>
      <c r="I104" s="242"/>
    </row>
    <row r="105" spans="1:9" ht="16.5" customHeight="1">
      <c r="A105" s="79"/>
      <c r="B105" s="80"/>
      <c r="C105" s="8">
        <v>4210</v>
      </c>
      <c r="D105" s="201" t="s">
        <v>527</v>
      </c>
      <c r="E105" s="52">
        <v>1092453</v>
      </c>
      <c r="F105" s="126"/>
      <c r="G105" s="52">
        <f>7000+483000+251250+8000+2500+8000+50000-4000-8000</f>
        <v>797750</v>
      </c>
      <c r="H105" s="233"/>
      <c r="I105" s="242"/>
    </row>
    <row r="106" spans="1:9" ht="16.5" customHeight="1">
      <c r="A106" s="79"/>
      <c r="B106" s="80"/>
      <c r="C106" s="8">
        <v>4260</v>
      </c>
      <c r="D106" s="169" t="s">
        <v>533</v>
      </c>
      <c r="E106" s="52">
        <v>1022400</v>
      </c>
      <c r="F106" s="126"/>
      <c r="G106" s="52">
        <f>965400-4500</f>
        <v>960900</v>
      </c>
      <c r="H106" s="233"/>
      <c r="I106" s="242"/>
    </row>
    <row r="107" spans="1:9" ht="16.5" customHeight="1">
      <c r="A107" s="79"/>
      <c r="B107" s="80"/>
      <c r="C107" s="8">
        <v>4270</v>
      </c>
      <c r="D107" s="169" t="s">
        <v>539</v>
      </c>
      <c r="E107" s="52">
        <v>210000</v>
      </c>
      <c r="F107" s="126"/>
      <c r="G107" s="52">
        <v>211000</v>
      </c>
      <c r="H107" s="233"/>
      <c r="I107" s="242"/>
    </row>
    <row r="108" spans="1:9" ht="16.5" customHeight="1">
      <c r="A108" s="79"/>
      <c r="B108" s="80"/>
      <c r="C108" s="8">
        <v>4280</v>
      </c>
      <c r="D108" s="201" t="s">
        <v>286</v>
      </c>
      <c r="E108" s="52">
        <v>45100</v>
      </c>
      <c r="F108" s="126"/>
      <c r="G108" s="52">
        <f>41200+5020</f>
        <v>46220</v>
      </c>
      <c r="H108" s="233"/>
      <c r="I108" s="242"/>
    </row>
    <row r="109" spans="1:9" ht="16.5" customHeight="1">
      <c r="A109" s="79"/>
      <c r="B109" s="80"/>
      <c r="C109" s="8">
        <v>4300</v>
      </c>
      <c r="D109" s="169" t="s">
        <v>428</v>
      </c>
      <c r="E109" s="52">
        <v>1762899</v>
      </c>
      <c r="F109" s="126"/>
      <c r="G109" s="52">
        <f>200000+796500+349200+416650+4000+58000+8000+100000+60000-67000+47000+50000</f>
        <v>2022350</v>
      </c>
      <c r="H109" s="233"/>
      <c r="I109" s="242"/>
    </row>
    <row r="110" spans="1:9" ht="26.25" customHeight="1">
      <c r="A110" s="79"/>
      <c r="B110" s="80"/>
      <c r="C110" s="8">
        <v>4360</v>
      </c>
      <c r="D110" s="169" t="s">
        <v>216</v>
      </c>
      <c r="E110" s="52">
        <v>145100</v>
      </c>
      <c r="F110" s="126"/>
      <c r="G110" s="52">
        <f>24000+126600</f>
        <v>150600</v>
      </c>
      <c r="H110" s="233"/>
      <c r="I110" s="242"/>
    </row>
    <row r="111" spans="1:9" ht="16.5" customHeight="1">
      <c r="A111" s="79"/>
      <c r="B111" s="80"/>
      <c r="C111" s="8">
        <v>4380</v>
      </c>
      <c r="D111" s="169" t="s">
        <v>423</v>
      </c>
      <c r="E111" s="52">
        <v>24000</v>
      </c>
      <c r="F111" s="126"/>
      <c r="G111" s="52">
        <v>30000</v>
      </c>
      <c r="H111" s="233"/>
      <c r="I111" s="242"/>
    </row>
    <row r="112" spans="1:9" ht="27" customHeight="1">
      <c r="A112" s="79"/>
      <c r="B112" s="80"/>
      <c r="C112" s="8">
        <v>4390</v>
      </c>
      <c r="D112" s="169" t="s">
        <v>354</v>
      </c>
      <c r="E112" s="52">
        <v>20500</v>
      </c>
      <c r="F112" s="126"/>
      <c r="G112" s="52">
        <f>20000+500</f>
        <v>20500</v>
      </c>
      <c r="H112" s="233"/>
      <c r="I112" s="242"/>
    </row>
    <row r="113" spans="1:9" ht="27.75" customHeight="1">
      <c r="A113" s="79"/>
      <c r="B113" s="80"/>
      <c r="C113" s="8">
        <v>4400</v>
      </c>
      <c r="D113" s="169" t="s">
        <v>291</v>
      </c>
      <c r="E113" s="52">
        <v>130000</v>
      </c>
      <c r="F113" s="126"/>
      <c r="G113" s="52">
        <v>129540</v>
      </c>
      <c r="H113" s="233"/>
      <c r="I113" s="242"/>
    </row>
    <row r="114" spans="1:9" ht="16.5" customHeight="1">
      <c r="A114" s="79"/>
      <c r="B114" s="80"/>
      <c r="C114" s="8">
        <v>4410</v>
      </c>
      <c r="D114" s="169" t="s">
        <v>529</v>
      </c>
      <c r="E114" s="52">
        <v>337500</v>
      </c>
      <c r="F114" s="126"/>
      <c r="G114" s="52">
        <f>9000+254000+50000</f>
        <v>313000</v>
      </c>
      <c r="H114" s="233"/>
      <c r="I114" s="242"/>
    </row>
    <row r="115" spans="1:9" ht="16.5" customHeight="1">
      <c r="A115" s="79"/>
      <c r="B115" s="80"/>
      <c r="C115" s="8">
        <v>4420</v>
      </c>
      <c r="D115" s="169" t="s">
        <v>530</v>
      </c>
      <c r="E115" s="52">
        <v>46000</v>
      </c>
      <c r="F115" s="126"/>
      <c r="G115" s="52">
        <f>9000+38000</f>
        <v>47000</v>
      </c>
      <c r="H115" s="233"/>
      <c r="I115" s="242"/>
    </row>
    <row r="116" spans="1:9" ht="16.5" customHeight="1">
      <c r="A116" s="79"/>
      <c r="B116" s="80"/>
      <c r="C116" s="8">
        <v>4430</v>
      </c>
      <c r="D116" s="169" t="s">
        <v>540</v>
      </c>
      <c r="E116" s="52">
        <v>128500</v>
      </c>
      <c r="F116" s="126"/>
      <c r="G116" s="52">
        <f>5000+45000+5250+300+20100+55000+1800+5000</f>
        <v>137450</v>
      </c>
      <c r="H116" s="233"/>
      <c r="I116" s="242"/>
    </row>
    <row r="117" spans="1:9" ht="24" customHeight="1">
      <c r="A117" s="79"/>
      <c r="B117" s="80"/>
      <c r="C117" s="8">
        <v>4440</v>
      </c>
      <c r="D117" s="169" t="s">
        <v>521</v>
      </c>
      <c r="E117" s="52">
        <v>380874.2</v>
      </c>
      <c r="F117" s="126"/>
      <c r="G117" s="52">
        <f>60954+420500</f>
        <v>481454</v>
      </c>
      <c r="H117" s="233"/>
      <c r="I117" s="242"/>
    </row>
    <row r="118" spans="1:9" ht="15.75" customHeight="1">
      <c r="A118" s="79"/>
      <c r="B118" s="80"/>
      <c r="C118" s="8">
        <v>4480</v>
      </c>
      <c r="D118" s="169" t="s">
        <v>321</v>
      </c>
      <c r="E118" s="52">
        <v>39568</v>
      </c>
      <c r="F118" s="126"/>
      <c r="G118" s="52">
        <v>40500</v>
      </c>
      <c r="H118" s="233"/>
      <c r="I118" s="242"/>
    </row>
    <row r="119" spans="1:9" ht="23.25" customHeight="1">
      <c r="A119" s="79"/>
      <c r="B119" s="80"/>
      <c r="C119" s="8">
        <v>4520</v>
      </c>
      <c r="D119" s="169" t="s">
        <v>417</v>
      </c>
      <c r="E119" s="52">
        <v>31300</v>
      </c>
      <c r="F119" s="126"/>
      <c r="G119" s="52">
        <f>3270+28500</f>
        <v>31770</v>
      </c>
      <c r="H119" s="233"/>
      <c r="I119" s="242"/>
    </row>
    <row r="120" spans="1:9" ht="16.5" customHeight="1">
      <c r="A120" s="79"/>
      <c r="B120" s="80"/>
      <c r="C120" s="8">
        <v>4530</v>
      </c>
      <c r="D120" s="169" t="s">
        <v>230</v>
      </c>
      <c r="E120" s="52">
        <v>3500</v>
      </c>
      <c r="F120" s="126"/>
      <c r="G120" s="52">
        <v>3357</v>
      </c>
      <c r="H120" s="233"/>
      <c r="I120" s="242"/>
    </row>
    <row r="121" spans="1:9" ht="24" customHeight="1">
      <c r="A121" s="79"/>
      <c r="B121" s="80"/>
      <c r="C121" s="8">
        <v>4610</v>
      </c>
      <c r="D121" s="169" t="s">
        <v>537</v>
      </c>
      <c r="E121" s="52">
        <v>220000</v>
      </c>
      <c r="F121" s="126"/>
      <c r="G121" s="52">
        <v>220000</v>
      </c>
      <c r="H121" s="233"/>
      <c r="I121" s="242"/>
    </row>
    <row r="122" spans="1:9" ht="24" customHeight="1">
      <c r="A122" s="79"/>
      <c r="B122" s="80"/>
      <c r="C122" s="8">
        <v>4700</v>
      </c>
      <c r="D122" s="169" t="s">
        <v>418</v>
      </c>
      <c r="E122" s="52">
        <v>142900</v>
      </c>
      <c r="F122" s="126"/>
      <c r="G122" s="52">
        <f>12500+4900+196000</f>
        <v>213400</v>
      </c>
      <c r="H122" s="233"/>
      <c r="I122" s="242"/>
    </row>
    <row r="123" spans="1:9" ht="21.75" customHeight="1">
      <c r="A123" s="79"/>
      <c r="B123" s="80"/>
      <c r="C123" s="8">
        <v>6050</v>
      </c>
      <c r="D123" s="169" t="s">
        <v>221</v>
      </c>
      <c r="E123" s="52">
        <v>110520</v>
      </c>
      <c r="F123" s="126"/>
      <c r="G123" s="52">
        <f>200000+156000</f>
        <v>356000</v>
      </c>
      <c r="H123" s="233"/>
      <c r="I123" s="242"/>
    </row>
    <row r="124" spans="1:9" ht="23.25" customHeight="1">
      <c r="A124" s="79"/>
      <c r="B124" s="85"/>
      <c r="C124" s="8">
        <v>6060</v>
      </c>
      <c r="D124" s="169" t="s">
        <v>538</v>
      </c>
      <c r="E124" s="52">
        <v>131800</v>
      </c>
      <c r="F124" s="126"/>
      <c r="G124" s="52">
        <v>350000</v>
      </c>
      <c r="H124" s="233"/>
      <c r="I124" s="241"/>
    </row>
    <row r="125" spans="1:9" s="53" customFormat="1" ht="27" customHeight="1">
      <c r="A125" s="99"/>
      <c r="B125" s="96">
        <v>75075</v>
      </c>
      <c r="C125" s="23"/>
      <c r="D125" s="174" t="s">
        <v>531</v>
      </c>
      <c r="E125" s="150">
        <f>SUM(E126:E130)</f>
        <v>739007</v>
      </c>
      <c r="F125" s="225"/>
      <c r="G125" s="150">
        <f>SUM(G126:G130)</f>
        <v>664640</v>
      </c>
      <c r="H125" s="284"/>
      <c r="I125" s="242">
        <f>G125/E125*100</f>
        <v>89.93690181554437</v>
      </c>
    </row>
    <row r="126" spans="1:9" s="53" customFormat="1" ht="16.5" customHeight="1">
      <c r="A126" s="99"/>
      <c r="B126" s="96"/>
      <c r="C126" s="8">
        <v>4170</v>
      </c>
      <c r="D126" s="169" t="s">
        <v>526</v>
      </c>
      <c r="E126" s="52">
        <v>2916</v>
      </c>
      <c r="F126" s="225"/>
      <c r="G126" s="52"/>
      <c r="H126" s="284"/>
      <c r="I126" s="289"/>
    </row>
    <row r="127" spans="1:9" s="53" customFormat="1" ht="16.5" customHeight="1">
      <c r="A127" s="99"/>
      <c r="B127" s="97"/>
      <c r="C127" s="8">
        <v>4190</v>
      </c>
      <c r="D127" s="169" t="s">
        <v>175</v>
      </c>
      <c r="E127" s="52">
        <v>4000</v>
      </c>
      <c r="F127" s="225"/>
      <c r="G127" s="52">
        <v>10000</v>
      </c>
      <c r="H127" s="284"/>
      <c r="I127" s="242"/>
    </row>
    <row r="128" spans="1:9" s="53" customFormat="1" ht="16.5" customHeight="1">
      <c r="A128" s="99"/>
      <c r="B128" s="97"/>
      <c r="C128" s="8">
        <v>4210</v>
      </c>
      <c r="D128" s="169" t="s">
        <v>527</v>
      </c>
      <c r="E128" s="52">
        <v>77000</v>
      </c>
      <c r="F128" s="225"/>
      <c r="G128" s="52">
        <f>30000+20000</f>
        <v>50000</v>
      </c>
      <c r="H128" s="284"/>
      <c r="I128" s="242"/>
    </row>
    <row r="129" spans="1:9" s="53" customFormat="1" ht="16.5" customHeight="1">
      <c r="A129" s="99"/>
      <c r="B129" s="97"/>
      <c r="C129" s="8">
        <v>4260</v>
      </c>
      <c r="D129" s="169" t="s">
        <v>533</v>
      </c>
      <c r="E129" s="52">
        <v>3000</v>
      </c>
      <c r="F129" s="225"/>
      <c r="G129" s="52">
        <v>2000</v>
      </c>
      <c r="H129" s="284"/>
      <c r="I129" s="242"/>
    </row>
    <row r="130" spans="1:9" s="53" customFormat="1" ht="16.5" customHeight="1">
      <c r="A130" s="99"/>
      <c r="B130" s="97"/>
      <c r="C130" s="8">
        <v>4300</v>
      </c>
      <c r="D130" s="169" t="s">
        <v>489</v>
      </c>
      <c r="E130" s="52">
        <v>652091</v>
      </c>
      <c r="F130" s="225"/>
      <c r="G130" s="52">
        <f>568000+20000+14640</f>
        <v>602640</v>
      </c>
      <c r="H130" s="284"/>
      <c r="I130" s="241"/>
    </row>
    <row r="131" spans="1:9" s="53" customFormat="1" ht="20.25" customHeight="1">
      <c r="A131" s="99"/>
      <c r="B131" s="46">
        <v>75095</v>
      </c>
      <c r="C131" s="27"/>
      <c r="D131" s="174" t="s">
        <v>343</v>
      </c>
      <c r="E131" s="28">
        <f>SUM(E132:E137)</f>
        <v>86303.5</v>
      </c>
      <c r="F131" s="225"/>
      <c r="G131" s="28">
        <f>SUM(G132:G137)</f>
        <v>68000</v>
      </c>
      <c r="H131" s="284"/>
      <c r="I131" s="242">
        <f>G131/E131*100</f>
        <v>78.79170601424043</v>
      </c>
    </row>
    <row r="132" spans="1:9" s="53" customFormat="1" ht="46.5" customHeight="1">
      <c r="A132" s="99"/>
      <c r="B132" s="97"/>
      <c r="C132" s="2">
        <v>2320</v>
      </c>
      <c r="D132" s="169" t="s">
        <v>462</v>
      </c>
      <c r="E132" s="26">
        <v>4222.5</v>
      </c>
      <c r="F132" s="225"/>
      <c r="G132" s="26"/>
      <c r="H132" s="284"/>
      <c r="I132" s="289"/>
    </row>
    <row r="133" spans="1:9" s="53" customFormat="1" ht="27" customHeight="1">
      <c r="A133" s="99"/>
      <c r="B133" s="97"/>
      <c r="C133" s="15">
        <v>3020</v>
      </c>
      <c r="D133" s="169" t="s">
        <v>525</v>
      </c>
      <c r="E133" s="26">
        <v>0</v>
      </c>
      <c r="F133" s="126"/>
      <c r="G133" s="26">
        <v>1000</v>
      </c>
      <c r="H133" s="233"/>
      <c r="I133" s="242"/>
    </row>
    <row r="134" spans="1:9" s="53" customFormat="1" ht="15.75" customHeight="1">
      <c r="A134" s="99"/>
      <c r="B134" s="97"/>
      <c r="C134" s="2">
        <v>4210</v>
      </c>
      <c r="D134" s="201" t="s">
        <v>527</v>
      </c>
      <c r="E134" s="26">
        <v>8000</v>
      </c>
      <c r="F134" s="126"/>
      <c r="G134" s="26">
        <v>10000</v>
      </c>
      <c r="H134" s="233"/>
      <c r="I134" s="242"/>
    </row>
    <row r="135" spans="1:9" s="53" customFormat="1" ht="15.75" customHeight="1">
      <c r="A135" s="99"/>
      <c r="B135" s="97"/>
      <c r="C135" s="2">
        <v>4300</v>
      </c>
      <c r="D135" s="169" t="s">
        <v>489</v>
      </c>
      <c r="E135" s="26">
        <v>53781</v>
      </c>
      <c r="F135" s="126"/>
      <c r="G135" s="26">
        <f>14000+20000+22700</f>
        <v>56700</v>
      </c>
      <c r="H135" s="233"/>
      <c r="I135" s="242"/>
    </row>
    <row r="136" spans="1:9" s="53" customFormat="1" ht="24" customHeight="1">
      <c r="A136" s="99"/>
      <c r="B136" s="97"/>
      <c r="C136" s="8">
        <v>4610</v>
      </c>
      <c r="D136" s="169" t="s">
        <v>537</v>
      </c>
      <c r="E136" s="26">
        <v>300</v>
      </c>
      <c r="F136" s="126"/>
      <c r="G136" s="26">
        <v>300</v>
      </c>
      <c r="H136" s="233"/>
      <c r="I136" s="242"/>
    </row>
    <row r="137" spans="1:9" s="53" customFormat="1" ht="20.25" customHeight="1">
      <c r="A137" s="99"/>
      <c r="B137" s="97"/>
      <c r="C137" s="8">
        <v>6050</v>
      </c>
      <c r="D137" s="169" t="s">
        <v>221</v>
      </c>
      <c r="E137" s="26">
        <v>20000</v>
      </c>
      <c r="F137" s="126"/>
      <c r="G137" s="26"/>
      <c r="H137" s="233"/>
      <c r="I137" s="241"/>
    </row>
    <row r="138" spans="1:9" ht="39.75" customHeight="1">
      <c r="A138" s="58">
        <v>751</v>
      </c>
      <c r="B138" s="57"/>
      <c r="C138" s="10"/>
      <c r="D138" s="173" t="s">
        <v>425</v>
      </c>
      <c r="E138" s="64">
        <f>E139+E143+E152+E161</f>
        <v>509865</v>
      </c>
      <c r="F138" s="64">
        <f>F139+F143+F152+F161</f>
        <v>509865</v>
      </c>
      <c r="G138" s="64">
        <f>G139+G143+G152+G161</f>
        <v>15500</v>
      </c>
      <c r="H138" s="64">
        <f>H139+H143+H152+H161</f>
        <v>15500</v>
      </c>
      <c r="I138" s="215">
        <f>G138/E138*100</f>
        <v>3.040020397556216</v>
      </c>
    </row>
    <row r="139" spans="1:9" ht="34.5" customHeight="1">
      <c r="A139" s="96"/>
      <c r="B139" s="74">
        <v>75101</v>
      </c>
      <c r="C139" s="24"/>
      <c r="D139" s="174" t="s">
        <v>425</v>
      </c>
      <c r="E139" s="91">
        <f>E140+E141+E142</f>
        <v>13500</v>
      </c>
      <c r="F139" s="91">
        <f>F140+F141+F142</f>
        <v>13500</v>
      </c>
      <c r="G139" s="91">
        <f>G140+G141+G142</f>
        <v>15500</v>
      </c>
      <c r="H139" s="234">
        <f>H140+H141+H142</f>
        <v>15500</v>
      </c>
      <c r="I139" s="289">
        <f>G139/E139*100</f>
        <v>114.81481481481481</v>
      </c>
    </row>
    <row r="140" spans="1:9" ht="16.5" customHeight="1">
      <c r="A140" s="80"/>
      <c r="B140" s="75"/>
      <c r="C140" s="8">
        <v>4110</v>
      </c>
      <c r="D140" s="169" t="s">
        <v>519</v>
      </c>
      <c r="E140" s="95">
        <v>1939.7</v>
      </c>
      <c r="F140" s="95">
        <v>1939.7</v>
      </c>
      <c r="G140" s="95">
        <v>2227.06</v>
      </c>
      <c r="H140" s="117">
        <v>2227.06</v>
      </c>
      <c r="I140" s="289"/>
    </row>
    <row r="141" spans="1:9" ht="16.5" customHeight="1">
      <c r="A141" s="80"/>
      <c r="B141" s="80"/>
      <c r="C141" s="8">
        <v>4120</v>
      </c>
      <c r="D141" s="169" t="s">
        <v>520</v>
      </c>
      <c r="E141" s="95">
        <v>276.45</v>
      </c>
      <c r="F141" s="95">
        <v>276.45</v>
      </c>
      <c r="G141" s="95">
        <v>317.41</v>
      </c>
      <c r="H141" s="117">
        <v>317.41</v>
      </c>
      <c r="I141" s="242"/>
    </row>
    <row r="142" spans="1:9" ht="16.5" customHeight="1">
      <c r="A142" s="79"/>
      <c r="B142" s="80"/>
      <c r="C142" s="15">
        <v>4170</v>
      </c>
      <c r="D142" s="169" t="s">
        <v>526</v>
      </c>
      <c r="E142" s="95">
        <v>11283.85</v>
      </c>
      <c r="F142" s="95">
        <v>11283.85</v>
      </c>
      <c r="G142" s="95">
        <v>12955.53</v>
      </c>
      <c r="H142" s="117">
        <v>12955.53</v>
      </c>
      <c r="I142" s="241"/>
    </row>
    <row r="143" spans="1:9" s="53" customFormat="1" ht="24" customHeight="1">
      <c r="A143" s="99"/>
      <c r="B143" s="46">
        <v>75107</v>
      </c>
      <c r="C143" s="23"/>
      <c r="D143" s="174" t="s">
        <v>157</v>
      </c>
      <c r="E143" s="287">
        <f>SUM(E144:E151)</f>
        <v>235020</v>
      </c>
      <c r="F143" s="287">
        <f>SUM(F144:F151)</f>
        <v>235020</v>
      </c>
      <c r="G143" s="287">
        <f>SUM(G144:G151)</f>
        <v>0</v>
      </c>
      <c r="H143" s="118">
        <f>SUM(H144:H151)</f>
        <v>0</v>
      </c>
      <c r="I143" s="242"/>
    </row>
    <row r="144" spans="1:9" ht="16.5" customHeight="1">
      <c r="A144" s="79"/>
      <c r="B144" s="80"/>
      <c r="C144" s="19">
        <v>3030</v>
      </c>
      <c r="D144" s="169" t="s">
        <v>542</v>
      </c>
      <c r="E144" s="95">
        <v>139231.51</v>
      </c>
      <c r="F144" s="95">
        <v>139231.51</v>
      </c>
      <c r="G144" s="95"/>
      <c r="H144" s="117"/>
      <c r="I144" s="289"/>
    </row>
    <row r="145" spans="1:9" ht="16.5" customHeight="1">
      <c r="A145" s="79"/>
      <c r="B145" s="80"/>
      <c r="C145" s="8">
        <v>4110</v>
      </c>
      <c r="D145" s="169" t="s">
        <v>519</v>
      </c>
      <c r="E145" s="95">
        <v>4563.74</v>
      </c>
      <c r="F145" s="95">
        <v>4563.74</v>
      </c>
      <c r="G145" s="95"/>
      <c r="H145" s="117"/>
      <c r="I145" s="242"/>
    </row>
    <row r="146" spans="1:9" ht="16.5" customHeight="1">
      <c r="A146" s="79"/>
      <c r="B146" s="80"/>
      <c r="C146" s="8">
        <v>4120</v>
      </c>
      <c r="D146" s="169" t="s">
        <v>520</v>
      </c>
      <c r="E146" s="95">
        <v>574.05</v>
      </c>
      <c r="F146" s="95">
        <v>574.05</v>
      </c>
      <c r="G146" s="95"/>
      <c r="H146" s="117"/>
      <c r="I146" s="242"/>
    </row>
    <row r="147" spans="1:9" ht="16.5" customHeight="1">
      <c r="A147" s="79"/>
      <c r="B147" s="80"/>
      <c r="C147" s="8">
        <v>4170</v>
      </c>
      <c r="D147" s="169" t="s">
        <v>526</v>
      </c>
      <c r="E147" s="95">
        <v>46387.89</v>
      </c>
      <c r="F147" s="95">
        <v>46387.89</v>
      </c>
      <c r="G147" s="95"/>
      <c r="H147" s="117"/>
      <c r="I147" s="242"/>
    </row>
    <row r="148" spans="1:9" ht="16.5" customHeight="1">
      <c r="A148" s="79"/>
      <c r="B148" s="80"/>
      <c r="C148" s="8">
        <v>4210</v>
      </c>
      <c r="D148" s="169" t="s">
        <v>527</v>
      </c>
      <c r="E148" s="95">
        <v>38601.51</v>
      </c>
      <c r="F148" s="95">
        <v>38601.51</v>
      </c>
      <c r="G148" s="95"/>
      <c r="H148" s="117"/>
      <c r="I148" s="242"/>
    </row>
    <row r="149" spans="1:9" ht="16.5" customHeight="1">
      <c r="A149" s="79"/>
      <c r="B149" s="80"/>
      <c r="C149" s="8">
        <v>4300</v>
      </c>
      <c r="D149" s="169" t="s">
        <v>489</v>
      </c>
      <c r="E149" s="95">
        <v>3302.96</v>
      </c>
      <c r="F149" s="95">
        <v>3302.96</v>
      </c>
      <c r="G149" s="95"/>
      <c r="H149" s="117"/>
      <c r="I149" s="242"/>
    </row>
    <row r="150" spans="1:9" ht="24" customHeight="1">
      <c r="A150" s="79"/>
      <c r="B150" s="80"/>
      <c r="C150" s="8">
        <v>4360</v>
      </c>
      <c r="D150" s="169" t="s">
        <v>216</v>
      </c>
      <c r="E150" s="95">
        <v>593.86</v>
      </c>
      <c r="F150" s="95">
        <v>593.86</v>
      </c>
      <c r="G150" s="95"/>
      <c r="H150" s="117"/>
      <c r="I150" s="242"/>
    </row>
    <row r="151" spans="1:9" ht="16.5" customHeight="1">
      <c r="A151" s="79"/>
      <c r="B151" s="80"/>
      <c r="C151" s="8">
        <v>4410</v>
      </c>
      <c r="D151" s="169" t="s">
        <v>529</v>
      </c>
      <c r="E151" s="95">
        <v>1764.48</v>
      </c>
      <c r="F151" s="95">
        <v>1764.48</v>
      </c>
      <c r="G151" s="95"/>
      <c r="H151" s="117"/>
      <c r="I151" s="241"/>
    </row>
    <row r="152" spans="1:9" ht="23.25" customHeight="1">
      <c r="A152" s="182"/>
      <c r="B152" s="24">
        <v>75108</v>
      </c>
      <c r="C152" s="142"/>
      <c r="D152" s="193" t="s">
        <v>404</v>
      </c>
      <c r="E152" s="28">
        <f>SUM(E153:E160)</f>
        <v>143601</v>
      </c>
      <c r="F152" s="28">
        <f>SUM(F153:F160)</f>
        <v>143601</v>
      </c>
      <c r="G152" s="28">
        <f>SUM(G153:G160)</f>
        <v>0</v>
      </c>
      <c r="H152" s="28">
        <f>SUM(H153:H160)</f>
        <v>0</v>
      </c>
      <c r="I152" s="300"/>
    </row>
    <row r="153" spans="1:9" ht="22.5" customHeight="1">
      <c r="A153" s="182"/>
      <c r="B153" s="9"/>
      <c r="C153" s="2">
        <v>3030</v>
      </c>
      <c r="D153" s="169" t="s">
        <v>542</v>
      </c>
      <c r="E153" s="26">
        <v>77060.21</v>
      </c>
      <c r="F153" s="26">
        <v>77060.21</v>
      </c>
      <c r="G153" s="26"/>
      <c r="H153" s="128"/>
      <c r="I153" s="362"/>
    </row>
    <row r="154" spans="1:9" ht="23.25" customHeight="1">
      <c r="A154" s="182"/>
      <c r="B154" s="9"/>
      <c r="C154" s="2">
        <v>4110</v>
      </c>
      <c r="D154" s="169" t="s">
        <v>519</v>
      </c>
      <c r="E154" s="26">
        <v>2895.54</v>
      </c>
      <c r="F154" s="26">
        <v>2895.54</v>
      </c>
      <c r="G154" s="26"/>
      <c r="H154" s="128"/>
      <c r="I154" s="366"/>
    </row>
    <row r="155" spans="1:9" ht="19.5" customHeight="1">
      <c r="A155" s="182"/>
      <c r="B155" s="9"/>
      <c r="C155" s="2">
        <v>4120</v>
      </c>
      <c r="D155" s="169" t="s">
        <v>520</v>
      </c>
      <c r="E155" s="26">
        <v>349.78</v>
      </c>
      <c r="F155" s="26">
        <v>349.78</v>
      </c>
      <c r="G155" s="26"/>
      <c r="H155" s="128"/>
      <c r="I155" s="366"/>
    </row>
    <row r="156" spans="1:9" ht="17.25" customHeight="1">
      <c r="A156" s="182"/>
      <c r="B156" s="9"/>
      <c r="C156" s="2">
        <v>4170</v>
      </c>
      <c r="D156" s="169" t="s">
        <v>526</v>
      </c>
      <c r="E156" s="26">
        <v>33714.61</v>
      </c>
      <c r="F156" s="26">
        <v>33714.61</v>
      </c>
      <c r="G156" s="26"/>
      <c r="H156" s="128"/>
      <c r="I156" s="366"/>
    </row>
    <row r="157" spans="1:9" ht="18.75" customHeight="1">
      <c r="A157" s="182"/>
      <c r="B157" s="9"/>
      <c r="C157" s="2">
        <v>4210</v>
      </c>
      <c r="D157" s="169" t="s">
        <v>527</v>
      </c>
      <c r="E157" s="26">
        <v>24996.96</v>
      </c>
      <c r="F157" s="26">
        <v>24996.96</v>
      </c>
      <c r="G157" s="26"/>
      <c r="H157" s="128"/>
      <c r="I157" s="366"/>
    </row>
    <row r="158" spans="1:9" ht="17.25" customHeight="1">
      <c r="A158" s="182"/>
      <c r="B158" s="9"/>
      <c r="C158" s="2">
        <v>4300</v>
      </c>
      <c r="D158" s="169" t="s">
        <v>489</v>
      </c>
      <c r="E158" s="26">
        <v>3344.4</v>
      </c>
      <c r="F158" s="26">
        <v>3344.4</v>
      </c>
      <c r="G158" s="26"/>
      <c r="H158" s="128"/>
      <c r="I158" s="366"/>
    </row>
    <row r="159" spans="1:9" ht="23.25" customHeight="1">
      <c r="A159" s="182"/>
      <c r="B159" s="9"/>
      <c r="C159" s="2">
        <v>4360</v>
      </c>
      <c r="D159" s="169" t="s">
        <v>216</v>
      </c>
      <c r="E159" s="26">
        <v>407.5</v>
      </c>
      <c r="F159" s="26">
        <v>407.5</v>
      </c>
      <c r="G159" s="26"/>
      <c r="H159" s="128"/>
      <c r="I159" s="366"/>
    </row>
    <row r="160" spans="1:9" ht="17.25" customHeight="1">
      <c r="A160" s="182"/>
      <c r="B160" s="9"/>
      <c r="C160" s="2">
        <v>4410</v>
      </c>
      <c r="D160" s="169" t="s">
        <v>529</v>
      </c>
      <c r="E160" s="26">
        <v>832</v>
      </c>
      <c r="F160" s="26">
        <v>832</v>
      </c>
      <c r="G160" s="26"/>
      <c r="H160" s="128"/>
      <c r="I160" s="365"/>
    </row>
    <row r="161" spans="1:9" ht="24.75" customHeight="1">
      <c r="A161" s="182"/>
      <c r="B161" s="24">
        <v>75110</v>
      </c>
      <c r="C161" s="142"/>
      <c r="D161" s="398" t="s">
        <v>159</v>
      </c>
      <c r="E161" s="28">
        <f>SUM(E162:E169)</f>
        <v>117744</v>
      </c>
      <c r="F161" s="28">
        <f>SUM(F162:F169)</f>
        <v>117744</v>
      </c>
      <c r="G161" s="28">
        <f>SUM(G162:G169)</f>
        <v>0</v>
      </c>
      <c r="H161" s="28">
        <f>SUM(H162:H169)</f>
        <v>0</v>
      </c>
      <c r="I161" s="300"/>
    </row>
    <row r="162" spans="1:9" ht="19.5" customHeight="1">
      <c r="A162" s="185"/>
      <c r="B162" s="13"/>
      <c r="C162" s="2">
        <v>3030</v>
      </c>
      <c r="D162" s="169" t="s">
        <v>542</v>
      </c>
      <c r="E162" s="26">
        <v>64404.72</v>
      </c>
      <c r="F162" s="26">
        <v>64404.72</v>
      </c>
      <c r="G162" s="26"/>
      <c r="H162" s="128"/>
      <c r="I162" s="362"/>
    </row>
    <row r="163" spans="1:9" ht="19.5" customHeight="1">
      <c r="A163" s="185"/>
      <c r="B163" s="7"/>
      <c r="C163" s="2">
        <v>4110</v>
      </c>
      <c r="D163" s="169" t="s">
        <v>519</v>
      </c>
      <c r="E163" s="26">
        <v>3027.24</v>
      </c>
      <c r="F163" s="26">
        <v>3027.24</v>
      </c>
      <c r="G163" s="26"/>
      <c r="H163" s="128"/>
      <c r="I163" s="366"/>
    </row>
    <row r="164" spans="1:9" ht="19.5" customHeight="1">
      <c r="A164" s="185"/>
      <c r="B164" s="7"/>
      <c r="C164" s="2">
        <v>4120</v>
      </c>
      <c r="D164" s="169" t="s">
        <v>520</v>
      </c>
      <c r="E164" s="26">
        <v>374.3</v>
      </c>
      <c r="F164" s="26">
        <v>374.3</v>
      </c>
      <c r="G164" s="26"/>
      <c r="H164" s="128"/>
      <c r="I164" s="366"/>
    </row>
    <row r="165" spans="1:9" ht="16.5" customHeight="1">
      <c r="A165" s="185"/>
      <c r="B165" s="7"/>
      <c r="C165" s="2">
        <v>4170</v>
      </c>
      <c r="D165" s="169" t="s">
        <v>526</v>
      </c>
      <c r="E165" s="26">
        <v>29420.71</v>
      </c>
      <c r="F165" s="26">
        <v>29420.71</v>
      </c>
      <c r="G165" s="26"/>
      <c r="H165" s="128"/>
      <c r="I165" s="366"/>
    </row>
    <row r="166" spans="1:9" ht="16.5" customHeight="1">
      <c r="A166" s="79"/>
      <c r="B166" s="80"/>
      <c r="C166" s="2">
        <v>4210</v>
      </c>
      <c r="D166" s="169" t="s">
        <v>527</v>
      </c>
      <c r="E166" s="95">
        <v>11087.72</v>
      </c>
      <c r="F166" s="95">
        <v>11087.72</v>
      </c>
      <c r="G166" s="95"/>
      <c r="H166" s="117"/>
      <c r="I166" s="242"/>
    </row>
    <row r="167" spans="1:9" ht="16.5" customHeight="1">
      <c r="A167" s="79"/>
      <c r="B167" s="80"/>
      <c r="C167" s="2">
        <v>4300</v>
      </c>
      <c r="D167" s="169" t="s">
        <v>489</v>
      </c>
      <c r="E167" s="95">
        <v>8011.37</v>
      </c>
      <c r="F167" s="95">
        <v>8011.37</v>
      </c>
      <c r="G167" s="95"/>
      <c r="H167" s="117"/>
      <c r="I167" s="242"/>
    </row>
    <row r="168" spans="1:9" ht="25.5" customHeight="1">
      <c r="A168" s="79"/>
      <c r="B168" s="80"/>
      <c r="C168" s="2">
        <v>4360</v>
      </c>
      <c r="D168" s="169" t="s">
        <v>216</v>
      </c>
      <c r="E168" s="95">
        <v>290</v>
      </c>
      <c r="F168" s="95">
        <v>290</v>
      </c>
      <c r="G168" s="95"/>
      <c r="H168" s="117"/>
      <c r="I168" s="242"/>
    </row>
    <row r="169" spans="1:9" ht="18" customHeight="1">
      <c r="A169" s="79"/>
      <c r="B169" s="85"/>
      <c r="C169" s="2">
        <v>4410</v>
      </c>
      <c r="D169" s="169" t="s">
        <v>529</v>
      </c>
      <c r="E169" s="95">
        <v>1127.94</v>
      </c>
      <c r="F169" s="95">
        <v>1127.94</v>
      </c>
      <c r="G169" s="95"/>
      <c r="H169" s="117"/>
      <c r="I169" s="241"/>
    </row>
    <row r="170" spans="1:9" ht="24" customHeight="1">
      <c r="A170" s="101">
        <v>752</v>
      </c>
      <c r="B170" s="10"/>
      <c r="C170" s="11"/>
      <c r="D170" s="173" t="s">
        <v>360</v>
      </c>
      <c r="E170" s="33">
        <f>E171</f>
        <v>10000</v>
      </c>
      <c r="F170" s="52"/>
      <c r="G170" s="33">
        <f>G171</f>
        <v>10000</v>
      </c>
      <c r="H170" s="26"/>
      <c r="I170" s="215">
        <f>G170/E170*100</f>
        <v>100</v>
      </c>
    </row>
    <row r="171" spans="1:9" s="53" customFormat="1" ht="20.25" customHeight="1">
      <c r="A171" s="34"/>
      <c r="B171" s="35">
        <v>75212</v>
      </c>
      <c r="C171" s="24"/>
      <c r="D171" s="174" t="s">
        <v>361</v>
      </c>
      <c r="E171" s="90">
        <f>E172</f>
        <v>10000</v>
      </c>
      <c r="F171" s="90"/>
      <c r="G171" s="90">
        <f>G172</f>
        <v>10000</v>
      </c>
      <c r="H171" s="28"/>
      <c r="I171" s="95">
        <f>G171/E171*100</f>
        <v>100</v>
      </c>
    </row>
    <row r="172" spans="1:9" ht="15.75" customHeight="1">
      <c r="A172" s="16"/>
      <c r="B172" s="16"/>
      <c r="C172" s="2">
        <v>4300</v>
      </c>
      <c r="D172" s="169" t="s">
        <v>446</v>
      </c>
      <c r="E172" s="87">
        <v>10000</v>
      </c>
      <c r="F172" s="126"/>
      <c r="G172" s="87">
        <v>10000</v>
      </c>
      <c r="H172" s="233"/>
      <c r="I172" s="95"/>
    </row>
    <row r="173" spans="1:9" ht="30" customHeight="1">
      <c r="A173" s="57">
        <v>754</v>
      </c>
      <c r="B173" s="58"/>
      <c r="C173" s="10"/>
      <c r="D173" s="173" t="s">
        <v>345</v>
      </c>
      <c r="E173" s="83">
        <f>E174+E187+E192+E201</f>
        <v>527451</v>
      </c>
      <c r="F173" s="72"/>
      <c r="G173" s="83">
        <f>G174+G187+G192+G201</f>
        <v>1005000</v>
      </c>
      <c r="H173" s="128"/>
      <c r="I173" s="131">
        <f>G173/E173*100</f>
        <v>190.5390263740139</v>
      </c>
    </row>
    <row r="174" spans="1:9" ht="20.25" customHeight="1">
      <c r="A174" s="97" t="s">
        <v>307</v>
      </c>
      <c r="B174" s="74">
        <v>75412</v>
      </c>
      <c r="C174" s="23" t="s">
        <v>307</v>
      </c>
      <c r="D174" s="174" t="s">
        <v>532</v>
      </c>
      <c r="E174" s="28">
        <f>SUM(E175:E186)</f>
        <v>186367</v>
      </c>
      <c r="F174" s="72"/>
      <c r="G174" s="28">
        <f>SUM(G175:G186)</f>
        <v>599400</v>
      </c>
      <c r="H174" s="72"/>
      <c r="I174" s="448">
        <f>G174/E174*100</f>
        <v>321.62346338139264</v>
      </c>
    </row>
    <row r="175" spans="1:9" ht="16.5" customHeight="1">
      <c r="A175" s="80"/>
      <c r="B175" s="283"/>
      <c r="C175" s="8">
        <v>3030</v>
      </c>
      <c r="D175" s="169" t="s">
        <v>542</v>
      </c>
      <c r="E175" s="26">
        <v>37024</v>
      </c>
      <c r="F175" s="126"/>
      <c r="G175" s="41">
        <v>30000</v>
      </c>
      <c r="H175" s="233"/>
      <c r="I175" s="289"/>
    </row>
    <row r="176" spans="1:9" ht="16.5" customHeight="1">
      <c r="A176" s="80"/>
      <c r="B176" s="283"/>
      <c r="C176" s="8">
        <v>4110</v>
      </c>
      <c r="D176" s="169" t="s">
        <v>519</v>
      </c>
      <c r="E176" s="26">
        <v>826</v>
      </c>
      <c r="F176" s="126"/>
      <c r="G176" s="41">
        <v>2850</v>
      </c>
      <c r="H176" s="233"/>
      <c r="I176" s="242"/>
    </row>
    <row r="177" spans="1:9" ht="16.5" customHeight="1">
      <c r="A177" s="80"/>
      <c r="B177" s="283"/>
      <c r="C177" s="2">
        <v>4120</v>
      </c>
      <c r="D177" s="169" t="s">
        <v>520</v>
      </c>
      <c r="E177" s="26">
        <v>0</v>
      </c>
      <c r="F177" s="126"/>
      <c r="G177" s="41">
        <v>150</v>
      </c>
      <c r="H177" s="233"/>
      <c r="I177" s="242"/>
    </row>
    <row r="178" spans="1:9" ht="16.5" customHeight="1">
      <c r="A178" s="80"/>
      <c r="B178" s="283"/>
      <c r="C178" s="2">
        <v>4170</v>
      </c>
      <c r="D178" s="169" t="s">
        <v>526</v>
      </c>
      <c r="E178" s="26">
        <v>37004</v>
      </c>
      <c r="F178" s="126"/>
      <c r="G178" s="41">
        <v>36600</v>
      </c>
      <c r="H178" s="233"/>
      <c r="I178" s="242"/>
    </row>
    <row r="179" spans="1:9" ht="16.5" customHeight="1">
      <c r="A179" s="80"/>
      <c r="B179" s="283"/>
      <c r="C179" s="8">
        <v>4210</v>
      </c>
      <c r="D179" s="169" t="s">
        <v>449</v>
      </c>
      <c r="E179" s="26">
        <v>50880</v>
      </c>
      <c r="F179" s="126"/>
      <c r="G179" s="41">
        <v>62000</v>
      </c>
      <c r="H179" s="233"/>
      <c r="I179" s="242"/>
    </row>
    <row r="180" spans="1:9" ht="16.5" customHeight="1">
      <c r="A180" s="80"/>
      <c r="B180" s="283"/>
      <c r="C180" s="8">
        <v>4260</v>
      </c>
      <c r="D180" s="169" t="s">
        <v>533</v>
      </c>
      <c r="E180" s="26">
        <v>7288</v>
      </c>
      <c r="F180" s="126"/>
      <c r="G180" s="41">
        <v>5500</v>
      </c>
      <c r="H180" s="233"/>
      <c r="I180" s="242"/>
    </row>
    <row r="181" spans="1:9" ht="16.5" customHeight="1">
      <c r="A181" s="80"/>
      <c r="B181" s="283"/>
      <c r="C181" s="8">
        <v>4270</v>
      </c>
      <c r="D181" s="169" t="s">
        <v>450</v>
      </c>
      <c r="E181" s="26"/>
      <c r="F181" s="126"/>
      <c r="G181" s="41">
        <v>2500</v>
      </c>
      <c r="H181" s="233"/>
      <c r="I181" s="242"/>
    </row>
    <row r="182" spans="1:9" ht="16.5" customHeight="1">
      <c r="A182" s="80"/>
      <c r="B182" s="283"/>
      <c r="C182" s="8">
        <v>4300</v>
      </c>
      <c r="D182" s="169" t="s">
        <v>446</v>
      </c>
      <c r="E182" s="26">
        <v>15000</v>
      </c>
      <c r="F182" s="126"/>
      <c r="G182" s="41">
        <v>30000</v>
      </c>
      <c r="H182" s="233"/>
      <c r="I182" s="242"/>
    </row>
    <row r="183" spans="1:9" ht="26.25" customHeight="1">
      <c r="A183" s="80"/>
      <c r="B183" s="283"/>
      <c r="C183" s="2">
        <v>4360</v>
      </c>
      <c r="D183" s="169" t="s">
        <v>216</v>
      </c>
      <c r="E183" s="26">
        <v>200</v>
      </c>
      <c r="F183" s="126"/>
      <c r="G183" s="41">
        <v>200</v>
      </c>
      <c r="H183" s="233"/>
      <c r="I183" s="242"/>
    </row>
    <row r="184" spans="1:9" ht="16.5" customHeight="1">
      <c r="A184" s="80"/>
      <c r="B184" s="283"/>
      <c r="C184" s="15">
        <v>4430</v>
      </c>
      <c r="D184" s="171" t="s">
        <v>429</v>
      </c>
      <c r="E184" s="26">
        <v>13933</v>
      </c>
      <c r="F184" s="126"/>
      <c r="G184" s="41">
        <v>11600</v>
      </c>
      <c r="H184" s="233"/>
      <c r="I184" s="242"/>
    </row>
    <row r="185" spans="1:9" ht="29.25" customHeight="1">
      <c r="A185" s="80"/>
      <c r="B185" s="283"/>
      <c r="C185" s="8">
        <v>6060</v>
      </c>
      <c r="D185" s="169" t="s">
        <v>538</v>
      </c>
      <c r="E185" s="128">
        <v>4212</v>
      </c>
      <c r="F185" s="126"/>
      <c r="G185" s="86">
        <f>12000+6000</f>
        <v>18000</v>
      </c>
      <c r="H185" s="233"/>
      <c r="I185" s="242"/>
    </row>
    <row r="186" spans="1:9" ht="51.75" customHeight="1">
      <c r="A186" s="80"/>
      <c r="B186" s="283"/>
      <c r="C186" s="8">
        <v>6230</v>
      </c>
      <c r="D186" s="169" t="s">
        <v>172</v>
      </c>
      <c r="E186" s="128">
        <v>20000</v>
      </c>
      <c r="F186" s="126"/>
      <c r="G186" s="86">
        <v>400000</v>
      </c>
      <c r="H186" s="233"/>
      <c r="I186" s="241"/>
    </row>
    <row r="187" spans="1:9" ht="20.25" customHeight="1">
      <c r="A187" s="97"/>
      <c r="B187" s="46">
        <v>75414</v>
      </c>
      <c r="C187" s="23" t="s">
        <v>307</v>
      </c>
      <c r="D187" s="174" t="s">
        <v>534</v>
      </c>
      <c r="E187" s="28">
        <f>SUM(E188:E191)</f>
        <v>60000</v>
      </c>
      <c r="F187" s="126"/>
      <c r="G187" s="28">
        <f>SUM(G188:G191)</f>
        <v>64500</v>
      </c>
      <c r="H187" s="126"/>
      <c r="I187" s="449">
        <f>G187/E187*100</f>
        <v>107.5</v>
      </c>
    </row>
    <row r="188" spans="1:9" ht="16.5" customHeight="1">
      <c r="A188" s="97"/>
      <c r="B188" s="285"/>
      <c r="C188" s="8">
        <v>4170</v>
      </c>
      <c r="D188" s="169" t="s">
        <v>526</v>
      </c>
      <c r="E188" s="26">
        <v>3000</v>
      </c>
      <c r="F188" s="126"/>
      <c r="G188" s="41">
        <v>3000</v>
      </c>
      <c r="H188" s="233"/>
      <c r="I188" s="289"/>
    </row>
    <row r="189" spans="1:9" ht="16.5" customHeight="1">
      <c r="A189" s="97"/>
      <c r="B189" s="285"/>
      <c r="C189" s="8">
        <v>4210</v>
      </c>
      <c r="D189" s="169" t="s">
        <v>449</v>
      </c>
      <c r="E189" s="26">
        <v>34000</v>
      </c>
      <c r="F189" s="126"/>
      <c r="G189" s="41">
        <v>34000</v>
      </c>
      <c r="H189" s="233"/>
      <c r="I189" s="242"/>
    </row>
    <row r="190" spans="1:9" ht="16.5" customHeight="1">
      <c r="A190" s="97"/>
      <c r="B190" s="285"/>
      <c r="C190" s="8">
        <v>4300</v>
      </c>
      <c r="D190" s="169" t="s">
        <v>446</v>
      </c>
      <c r="E190" s="26">
        <v>4000</v>
      </c>
      <c r="F190" s="126"/>
      <c r="G190" s="41">
        <v>8000</v>
      </c>
      <c r="H190" s="233"/>
      <c r="I190" s="242"/>
    </row>
    <row r="191" spans="1:9" s="56" customFormat="1" ht="27.75" customHeight="1">
      <c r="A191" s="97"/>
      <c r="B191" s="104"/>
      <c r="C191" s="8">
        <v>6060</v>
      </c>
      <c r="D191" s="169" t="s">
        <v>538</v>
      </c>
      <c r="E191" s="128">
        <v>19000</v>
      </c>
      <c r="F191" s="126"/>
      <c r="G191" s="86">
        <v>19500</v>
      </c>
      <c r="H191" s="233"/>
      <c r="I191" s="241"/>
    </row>
    <row r="192" spans="1:9" ht="20.25" customHeight="1">
      <c r="A192" s="97"/>
      <c r="B192" s="104">
        <v>75421</v>
      </c>
      <c r="C192" s="8"/>
      <c r="D192" s="174" t="s">
        <v>365</v>
      </c>
      <c r="E192" s="28">
        <f>SUM(E193:E200)</f>
        <v>76828</v>
      </c>
      <c r="F192" s="225"/>
      <c r="G192" s="28">
        <f>SUM(G193:G200)</f>
        <v>178792</v>
      </c>
      <c r="H192" s="225"/>
      <c r="I192" s="449">
        <f>G192/E192*100</f>
        <v>232.7172385067944</v>
      </c>
    </row>
    <row r="193" spans="1:9" ht="20.25" customHeight="1">
      <c r="A193" s="97"/>
      <c r="B193" s="285"/>
      <c r="C193" s="8">
        <v>4110</v>
      </c>
      <c r="D193" s="169" t="s">
        <v>519</v>
      </c>
      <c r="E193" s="127"/>
      <c r="F193" s="126"/>
      <c r="G193" s="88">
        <v>1000</v>
      </c>
      <c r="H193" s="284"/>
      <c r="I193" s="289"/>
    </row>
    <row r="194" spans="1:9" ht="20.25" customHeight="1">
      <c r="A194" s="97"/>
      <c r="B194" s="285"/>
      <c r="C194" s="2">
        <v>4120</v>
      </c>
      <c r="D194" s="169" t="s">
        <v>520</v>
      </c>
      <c r="E194" s="127"/>
      <c r="F194" s="126"/>
      <c r="G194" s="88">
        <v>150</v>
      </c>
      <c r="H194" s="284"/>
      <c r="I194" s="242"/>
    </row>
    <row r="195" spans="1:9" ht="20.25" customHeight="1">
      <c r="A195" s="97"/>
      <c r="B195" s="285"/>
      <c r="C195" s="2">
        <v>4170</v>
      </c>
      <c r="D195" s="169" t="s">
        <v>526</v>
      </c>
      <c r="E195" s="127"/>
      <c r="F195" s="126"/>
      <c r="G195" s="88">
        <v>6000</v>
      </c>
      <c r="H195" s="284"/>
      <c r="I195" s="242"/>
    </row>
    <row r="196" spans="1:9" ht="17.25" customHeight="1">
      <c r="A196" s="97"/>
      <c r="B196" s="285"/>
      <c r="C196" s="8">
        <v>4210</v>
      </c>
      <c r="D196" s="169" t="s">
        <v>449</v>
      </c>
      <c r="E196" s="127">
        <v>9000</v>
      </c>
      <c r="F196" s="225"/>
      <c r="G196" s="88">
        <v>5000</v>
      </c>
      <c r="H196" s="284"/>
      <c r="I196" s="242"/>
    </row>
    <row r="197" spans="1:9" ht="17.25" customHeight="1">
      <c r="A197" s="97"/>
      <c r="B197" s="285"/>
      <c r="C197" s="8">
        <v>4260</v>
      </c>
      <c r="D197" s="169" t="s">
        <v>533</v>
      </c>
      <c r="E197" s="127">
        <v>40000</v>
      </c>
      <c r="F197" s="126"/>
      <c r="G197" s="88">
        <v>15000</v>
      </c>
      <c r="H197" s="233"/>
      <c r="I197" s="242"/>
    </row>
    <row r="198" spans="1:9" ht="17.25" customHeight="1">
      <c r="A198" s="97"/>
      <c r="B198" s="285"/>
      <c r="C198" s="8">
        <v>4300</v>
      </c>
      <c r="D198" s="169" t="s">
        <v>446</v>
      </c>
      <c r="E198" s="127">
        <v>26478</v>
      </c>
      <c r="F198" s="126"/>
      <c r="G198" s="88">
        <v>20292</v>
      </c>
      <c r="H198" s="233"/>
      <c r="I198" s="242"/>
    </row>
    <row r="199" spans="1:9" ht="17.25" customHeight="1">
      <c r="A199" s="97"/>
      <c r="B199" s="285"/>
      <c r="C199" s="8">
        <v>4430</v>
      </c>
      <c r="D199" s="169" t="s">
        <v>173</v>
      </c>
      <c r="E199" s="88">
        <v>1350</v>
      </c>
      <c r="F199" s="126"/>
      <c r="G199" s="88">
        <v>1350</v>
      </c>
      <c r="H199" s="233"/>
      <c r="I199" s="242"/>
    </row>
    <row r="200" spans="1:9" ht="17.25" customHeight="1">
      <c r="A200" s="97"/>
      <c r="B200" s="285"/>
      <c r="C200" s="8">
        <v>6050</v>
      </c>
      <c r="D200" s="169" t="s">
        <v>221</v>
      </c>
      <c r="E200" s="88"/>
      <c r="F200" s="126"/>
      <c r="G200" s="88">
        <f>70000+60000</f>
        <v>130000</v>
      </c>
      <c r="H200" s="233"/>
      <c r="I200" s="241"/>
    </row>
    <row r="201" spans="1:9" ht="24" customHeight="1">
      <c r="A201" s="80"/>
      <c r="B201" s="98">
        <v>75495</v>
      </c>
      <c r="C201" s="23"/>
      <c r="D201" s="174" t="s">
        <v>535</v>
      </c>
      <c r="E201" s="38">
        <f>SUM(E202:E205)</f>
        <v>204256</v>
      </c>
      <c r="F201" s="126"/>
      <c r="G201" s="38">
        <f>SUM(G202:G205)</f>
        <v>162308</v>
      </c>
      <c r="H201" s="126"/>
      <c r="I201" s="449">
        <f>G201/E201*100</f>
        <v>79.4630267899107</v>
      </c>
    </row>
    <row r="202" spans="1:9" ht="17.25" customHeight="1">
      <c r="A202" s="79"/>
      <c r="B202" s="96"/>
      <c r="C202" s="8">
        <v>3030</v>
      </c>
      <c r="D202" s="169" t="s">
        <v>542</v>
      </c>
      <c r="E202" s="26">
        <v>5000</v>
      </c>
      <c r="F202" s="126"/>
      <c r="G202" s="88">
        <v>5000</v>
      </c>
      <c r="H202" s="233"/>
      <c r="I202" s="289"/>
    </row>
    <row r="203" spans="1:9" ht="17.25" customHeight="1">
      <c r="A203" s="79"/>
      <c r="B203" s="97"/>
      <c r="C203" s="15">
        <v>4170</v>
      </c>
      <c r="D203" s="169" t="s">
        <v>526</v>
      </c>
      <c r="E203" s="128">
        <v>1100</v>
      </c>
      <c r="F203" s="126"/>
      <c r="G203" s="86">
        <v>1100</v>
      </c>
      <c r="H203" s="233"/>
      <c r="I203" s="242"/>
    </row>
    <row r="204" spans="1:9" ht="17.25" customHeight="1">
      <c r="A204" s="79"/>
      <c r="B204" s="97"/>
      <c r="C204" s="8">
        <v>4260</v>
      </c>
      <c r="D204" s="169" t="s">
        <v>533</v>
      </c>
      <c r="E204" s="128">
        <v>3817</v>
      </c>
      <c r="F204" s="126"/>
      <c r="G204" s="86">
        <v>3000</v>
      </c>
      <c r="H204" s="233"/>
      <c r="I204" s="242"/>
    </row>
    <row r="205" spans="1:9" ht="17.25" customHeight="1">
      <c r="A205" s="79"/>
      <c r="B205" s="97"/>
      <c r="C205" s="8">
        <v>4300</v>
      </c>
      <c r="D205" s="169" t="s">
        <v>446</v>
      </c>
      <c r="E205" s="128">
        <v>194339</v>
      </c>
      <c r="F205" s="126"/>
      <c r="G205" s="86">
        <v>153208</v>
      </c>
      <c r="H205" s="233"/>
      <c r="I205" s="241"/>
    </row>
    <row r="206" spans="1:9" ht="24" customHeight="1">
      <c r="A206" s="57">
        <v>757</v>
      </c>
      <c r="B206" s="57"/>
      <c r="C206" s="10"/>
      <c r="D206" s="173" t="s">
        <v>561</v>
      </c>
      <c r="E206" s="288">
        <f>E207</f>
        <v>3450000</v>
      </c>
      <c r="F206" s="52"/>
      <c r="G206" s="243">
        <f>G207</f>
        <v>4000000</v>
      </c>
      <c r="H206" s="52"/>
      <c r="I206" s="450">
        <f>G206/E206*100</f>
        <v>115.94202898550725</v>
      </c>
    </row>
    <row r="207" spans="1:9" ht="36.75" customHeight="1">
      <c r="A207" s="96"/>
      <c r="B207" s="46">
        <v>75702</v>
      </c>
      <c r="C207" s="24"/>
      <c r="D207" s="174" t="s">
        <v>562</v>
      </c>
      <c r="E207" s="153">
        <f>E208+E209</f>
        <v>3450000</v>
      </c>
      <c r="F207" s="126"/>
      <c r="G207" s="153">
        <f>G208+G209</f>
        <v>4000000</v>
      </c>
      <c r="H207" s="233"/>
      <c r="I207" s="289">
        <f>G207/E207*100</f>
        <v>115.94202898550725</v>
      </c>
    </row>
    <row r="208" spans="1:9" ht="21.75" customHeight="1">
      <c r="A208" s="97"/>
      <c r="B208" s="77"/>
      <c r="C208" s="2">
        <v>4300</v>
      </c>
      <c r="D208" s="169" t="s">
        <v>428</v>
      </c>
      <c r="E208" s="87">
        <v>0</v>
      </c>
      <c r="F208" s="126"/>
      <c r="G208" s="87">
        <f>100000+100000</f>
        <v>200000</v>
      </c>
      <c r="H208" s="233"/>
      <c r="I208" s="289"/>
    </row>
    <row r="209" spans="1:9" ht="44.25" customHeight="1">
      <c r="A209" s="97"/>
      <c r="B209" s="77"/>
      <c r="C209" s="13">
        <v>8110</v>
      </c>
      <c r="D209" s="163" t="s">
        <v>301</v>
      </c>
      <c r="E209" s="52">
        <f>4700000-1250000</f>
        <v>3450000</v>
      </c>
      <c r="F209" s="87"/>
      <c r="G209" s="52">
        <f>4100000-300000</f>
        <v>3800000</v>
      </c>
      <c r="H209" s="127"/>
      <c r="I209" s="241"/>
    </row>
    <row r="210" spans="1:9" ht="24" customHeight="1">
      <c r="A210" s="58">
        <v>758</v>
      </c>
      <c r="B210" s="57"/>
      <c r="C210" s="10"/>
      <c r="D210" s="173" t="s">
        <v>346</v>
      </c>
      <c r="E210" s="33">
        <f>E211</f>
        <v>1302311.34</v>
      </c>
      <c r="F210" s="220"/>
      <c r="G210" s="33">
        <f>G211</f>
        <v>3360286.75</v>
      </c>
      <c r="H210" s="55"/>
      <c r="I210" s="95"/>
    </row>
    <row r="211" spans="1:9" ht="20.25" customHeight="1">
      <c r="A211" s="96"/>
      <c r="B211" s="74">
        <v>75818</v>
      </c>
      <c r="C211" s="24"/>
      <c r="D211" s="174" t="s">
        <v>347</v>
      </c>
      <c r="E211" s="90">
        <f>E212+E217</f>
        <v>1302311.34</v>
      </c>
      <c r="F211" s="176"/>
      <c r="G211" s="90">
        <f>G212+G217</f>
        <v>3360286.75</v>
      </c>
      <c r="H211" s="86"/>
      <c r="I211" s="242"/>
    </row>
    <row r="212" spans="1:9" ht="15.75" customHeight="1">
      <c r="A212" s="80"/>
      <c r="B212" s="81"/>
      <c r="C212" s="13">
        <v>4810</v>
      </c>
      <c r="D212" s="169" t="s">
        <v>279</v>
      </c>
      <c r="E212" s="124">
        <f>E214+E215+E216</f>
        <v>1228790.34</v>
      </c>
      <c r="F212" s="220"/>
      <c r="G212" s="124">
        <f>G214+G215+G216</f>
        <v>1610823.71</v>
      </c>
      <c r="H212" s="55"/>
      <c r="I212" s="242"/>
    </row>
    <row r="213" spans="1:9" ht="15.75" customHeight="1">
      <c r="A213" s="80"/>
      <c r="B213" s="286"/>
      <c r="C213" s="13"/>
      <c r="D213" s="195" t="s">
        <v>280</v>
      </c>
      <c r="E213" s="52"/>
      <c r="F213" s="220"/>
      <c r="G213" s="52"/>
      <c r="H213" s="55"/>
      <c r="I213" s="242"/>
    </row>
    <row r="214" spans="1:9" ht="15.75" customHeight="1">
      <c r="A214" s="80"/>
      <c r="B214" s="286"/>
      <c r="C214" s="7"/>
      <c r="D214" s="195" t="s">
        <v>281</v>
      </c>
      <c r="E214" s="52">
        <f>1228790.34-890000</f>
        <v>338790.3400000001</v>
      </c>
      <c r="F214" s="220"/>
      <c r="G214" s="52">
        <f>692633.04-44017.33+8000-189000-47000-100000+208+100000</f>
        <v>420823.7100000001</v>
      </c>
      <c r="H214" s="55"/>
      <c r="I214" s="242"/>
    </row>
    <row r="215" spans="1:9" ht="15.75" customHeight="1">
      <c r="A215" s="80"/>
      <c r="B215" s="286"/>
      <c r="C215" s="7"/>
      <c r="D215" s="195" t="s">
        <v>282</v>
      </c>
      <c r="E215" s="52">
        <v>0</v>
      </c>
      <c r="F215" s="220"/>
      <c r="G215" s="52">
        <v>300000</v>
      </c>
      <c r="H215" s="55"/>
      <c r="I215" s="242"/>
    </row>
    <row r="216" spans="1:9" ht="15.75" customHeight="1">
      <c r="A216" s="80"/>
      <c r="B216" s="286"/>
      <c r="C216" s="7"/>
      <c r="D216" s="195" t="s">
        <v>362</v>
      </c>
      <c r="E216" s="52">
        <v>890000</v>
      </c>
      <c r="F216" s="220"/>
      <c r="G216" s="52">
        <v>890000</v>
      </c>
      <c r="H216" s="55"/>
      <c r="I216" s="242"/>
    </row>
    <row r="217" spans="1:9" ht="15.75" customHeight="1">
      <c r="A217" s="80"/>
      <c r="B217" s="105"/>
      <c r="C217" s="2">
        <v>6800</v>
      </c>
      <c r="D217" s="169" t="s">
        <v>283</v>
      </c>
      <c r="E217" s="52">
        <v>73521</v>
      </c>
      <c r="F217" s="220"/>
      <c r="G217" s="52">
        <f>1999463.04-250000</f>
        <v>1749463.04</v>
      </c>
      <c r="H217" s="55"/>
      <c r="I217" s="241"/>
    </row>
    <row r="218" spans="1:9" ht="23.25" customHeight="1">
      <c r="A218" s="57">
        <v>801</v>
      </c>
      <c r="B218" s="57"/>
      <c r="C218" s="10"/>
      <c r="D218" s="173" t="s">
        <v>348</v>
      </c>
      <c r="E218" s="125">
        <f>E219+E249+E263+E292+E320+E322+E332+E353+E377+E398</f>
        <v>99554751.56</v>
      </c>
      <c r="F218" s="33">
        <f>F219+F249+F263+F292+F320+F322+F332+F353+F377+F398</f>
        <v>516200.95</v>
      </c>
      <c r="G218" s="125">
        <f>G219+G249+G263+G292+G320+G322+G332+G353+G377+G398</f>
        <v>93992904.94</v>
      </c>
      <c r="H218" s="33">
        <f>H219+H249+H263+H292+H320+H322+H332+H353+H377+H398</f>
        <v>0</v>
      </c>
      <c r="I218" s="215">
        <f>G218/E218*100</f>
        <v>94.41327859007515</v>
      </c>
    </row>
    <row r="219" spans="1:9" ht="20.25" customHeight="1">
      <c r="A219" s="96"/>
      <c r="B219" s="46">
        <v>80101</v>
      </c>
      <c r="C219" s="24"/>
      <c r="D219" s="174" t="s">
        <v>349</v>
      </c>
      <c r="E219" s="90">
        <f>SUM(E220:E248)</f>
        <v>33709456.36</v>
      </c>
      <c r="F219" s="90">
        <f>SUM(F220:F248)</f>
        <v>278024.43</v>
      </c>
      <c r="G219" s="90">
        <f>SUM(G220:G248)</f>
        <v>33791729</v>
      </c>
      <c r="H219" s="90">
        <f>SUM(H220:H248)</f>
        <v>0</v>
      </c>
      <c r="I219" s="289">
        <f>G219/E219*100</f>
        <v>100.244063977542</v>
      </c>
    </row>
    <row r="220" spans="1:9" ht="24" customHeight="1">
      <c r="A220" s="99"/>
      <c r="B220" s="97"/>
      <c r="C220" s="13">
        <v>2540</v>
      </c>
      <c r="D220" s="169" t="s">
        <v>288</v>
      </c>
      <c r="E220" s="88">
        <v>178848</v>
      </c>
      <c r="F220" s="126"/>
      <c r="G220" s="88">
        <v>749920</v>
      </c>
      <c r="H220" s="233"/>
      <c r="I220" s="289"/>
    </row>
    <row r="221" spans="1:9" ht="51.75" customHeight="1">
      <c r="A221" s="99"/>
      <c r="B221" s="97"/>
      <c r="C221" s="15">
        <v>2830</v>
      </c>
      <c r="D221" s="169" t="s">
        <v>174</v>
      </c>
      <c r="E221" s="52">
        <v>8296.37</v>
      </c>
      <c r="F221" s="52">
        <v>8296.37</v>
      </c>
      <c r="G221" s="88"/>
      <c r="H221" s="26"/>
      <c r="I221" s="242"/>
    </row>
    <row r="222" spans="1:9" ht="21.75" customHeight="1">
      <c r="A222" s="79"/>
      <c r="B222" s="80"/>
      <c r="C222" s="8">
        <v>3020</v>
      </c>
      <c r="D222" s="169" t="s">
        <v>284</v>
      </c>
      <c r="E222" s="87">
        <v>124523</v>
      </c>
      <c r="F222" s="126"/>
      <c r="G222" s="87">
        <v>113981</v>
      </c>
      <c r="H222" s="233"/>
      <c r="I222" s="242"/>
    </row>
    <row r="223" spans="1:9" ht="17.25" customHeight="1">
      <c r="A223" s="79"/>
      <c r="B223" s="80"/>
      <c r="C223" s="8">
        <v>3050</v>
      </c>
      <c r="D223" s="169" t="s">
        <v>285</v>
      </c>
      <c r="E223" s="52">
        <v>18000</v>
      </c>
      <c r="F223" s="126"/>
      <c r="G223" s="52">
        <v>20000</v>
      </c>
      <c r="H223" s="233"/>
      <c r="I223" s="242"/>
    </row>
    <row r="224" spans="1:9" ht="17.25" customHeight="1">
      <c r="A224" s="79"/>
      <c r="B224" s="80"/>
      <c r="C224" s="8">
        <v>4010</v>
      </c>
      <c r="D224" s="169" t="s">
        <v>492</v>
      </c>
      <c r="E224" s="52">
        <v>21311016</v>
      </c>
      <c r="F224" s="126"/>
      <c r="G224" s="52">
        <v>21254877</v>
      </c>
      <c r="H224" s="233"/>
      <c r="I224" s="242"/>
    </row>
    <row r="225" spans="1:9" ht="17.25" customHeight="1">
      <c r="A225" s="79"/>
      <c r="B225" s="80"/>
      <c r="C225" s="8">
        <v>4040</v>
      </c>
      <c r="D225" s="169" t="s">
        <v>493</v>
      </c>
      <c r="E225" s="52">
        <v>1803881</v>
      </c>
      <c r="F225" s="213"/>
      <c r="G225" s="52">
        <v>1821024</v>
      </c>
      <c r="H225" s="214"/>
      <c r="I225" s="242"/>
    </row>
    <row r="226" spans="1:9" ht="17.25" customHeight="1">
      <c r="A226" s="79"/>
      <c r="B226" s="80"/>
      <c r="C226" s="8">
        <v>4110</v>
      </c>
      <c r="D226" s="169" t="s">
        <v>519</v>
      </c>
      <c r="E226" s="52">
        <v>3755378</v>
      </c>
      <c r="F226" s="126"/>
      <c r="G226" s="52">
        <v>3842464</v>
      </c>
      <c r="H226" s="233"/>
      <c r="I226" s="242"/>
    </row>
    <row r="227" spans="1:9" ht="17.25" customHeight="1">
      <c r="A227" s="79"/>
      <c r="B227" s="80"/>
      <c r="C227" s="8">
        <v>4120</v>
      </c>
      <c r="D227" s="169" t="s">
        <v>520</v>
      </c>
      <c r="E227" s="52">
        <v>471710</v>
      </c>
      <c r="F227" s="126"/>
      <c r="G227" s="52">
        <v>518340</v>
      </c>
      <c r="H227" s="233"/>
      <c r="I227" s="242"/>
    </row>
    <row r="228" spans="1:9" ht="24" customHeight="1">
      <c r="A228" s="79"/>
      <c r="B228" s="80"/>
      <c r="C228" s="8">
        <v>4140</v>
      </c>
      <c r="D228" s="169" t="s">
        <v>320</v>
      </c>
      <c r="E228" s="52">
        <v>6500</v>
      </c>
      <c r="F228" s="126"/>
      <c r="G228" s="52">
        <v>10700</v>
      </c>
      <c r="H228" s="233"/>
      <c r="I228" s="242"/>
    </row>
    <row r="229" spans="1:9" ht="16.5" customHeight="1">
      <c r="A229" s="79"/>
      <c r="B229" s="80"/>
      <c r="C229" s="2">
        <v>4170</v>
      </c>
      <c r="D229" s="169" t="s">
        <v>526</v>
      </c>
      <c r="E229" s="52">
        <v>43974</v>
      </c>
      <c r="F229" s="126"/>
      <c r="G229" s="52">
        <v>52500</v>
      </c>
      <c r="H229" s="233"/>
      <c r="I229" s="242"/>
    </row>
    <row r="230" spans="1:9" ht="16.5" customHeight="1">
      <c r="A230" s="79"/>
      <c r="B230" s="80"/>
      <c r="C230" s="8">
        <v>4190</v>
      </c>
      <c r="D230" s="169" t="s">
        <v>175</v>
      </c>
      <c r="E230" s="52">
        <v>74</v>
      </c>
      <c r="F230" s="126"/>
      <c r="G230" s="52">
        <v>300</v>
      </c>
      <c r="H230" s="233"/>
      <c r="I230" s="242"/>
    </row>
    <row r="231" spans="1:9" ht="16.5" customHeight="1">
      <c r="A231" s="79"/>
      <c r="B231" s="80"/>
      <c r="C231" s="8">
        <v>4210</v>
      </c>
      <c r="D231" s="169" t="s">
        <v>449</v>
      </c>
      <c r="E231" s="52">
        <v>526591</v>
      </c>
      <c r="F231" s="126"/>
      <c r="G231" s="52">
        <f>12600+399970</f>
        <v>412570</v>
      </c>
      <c r="H231" s="233"/>
      <c r="I231" s="242"/>
    </row>
    <row r="232" spans="1:9" ht="14.25" customHeight="1">
      <c r="A232" s="79"/>
      <c r="B232" s="80"/>
      <c r="C232" s="8">
        <v>4240</v>
      </c>
      <c r="D232" s="169" t="s">
        <v>405</v>
      </c>
      <c r="E232" s="52">
        <v>355343.36</v>
      </c>
      <c r="F232" s="52">
        <v>266975.36</v>
      </c>
      <c r="G232" s="52">
        <f>3500+44106</f>
        <v>47606</v>
      </c>
      <c r="H232" s="26">
        <v>0</v>
      </c>
      <c r="I232" s="242"/>
    </row>
    <row r="233" spans="1:9" ht="16.5" customHeight="1">
      <c r="A233" s="79"/>
      <c r="B233" s="80"/>
      <c r="C233" s="8">
        <v>4260</v>
      </c>
      <c r="D233" s="169" t="s">
        <v>533</v>
      </c>
      <c r="E233" s="52">
        <v>1713835</v>
      </c>
      <c r="F233" s="126"/>
      <c r="G233" s="52">
        <f>1546671-80000</f>
        <v>1466671</v>
      </c>
      <c r="H233" s="233"/>
      <c r="I233" s="242"/>
    </row>
    <row r="234" spans="1:9" ht="16.5" customHeight="1">
      <c r="A234" s="79"/>
      <c r="B234" s="80"/>
      <c r="C234" s="8">
        <v>4270</v>
      </c>
      <c r="D234" s="169" t="s">
        <v>450</v>
      </c>
      <c r="E234" s="52">
        <v>383670.93</v>
      </c>
      <c r="F234" s="126"/>
      <c r="G234" s="52">
        <f>12500+114834</f>
        <v>127334</v>
      </c>
      <c r="H234" s="233"/>
      <c r="I234" s="242"/>
    </row>
    <row r="235" spans="1:9" ht="16.5" customHeight="1">
      <c r="A235" s="79"/>
      <c r="B235" s="80"/>
      <c r="C235" s="8">
        <v>4280</v>
      </c>
      <c r="D235" s="169" t="s">
        <v>286</v>
      </c>
      <c r="E235" s="52">
        <v>20205</v>
      </c>
      <c r="F235" s="126"/>
      <c r="G235" s="52">
        <v>31440</v>
      </c>
      <c r="H235" s="233"/>
      <c r="I235" s="242"/>
    </row>
    <row r="236" spans="1:9" ht="16.5" customHeight="1">
      <c r="A236" s="79"/>
      <c r="B236" s="80"/>
      <c r="C236" s="8">
        <v>4300</v>
      </c>
      <c r="D236" s="169" t="s">
        <v>446</v>
      </c>
      <c r="E236" s="52">
        <v>594714.7</v>
      </c>
      <c r="F236" s="52">
        <v>2752.7</v>
      </c>
      <c r="G236" s="52">
        <f>900+549627</f>
        <v>550527</v>
      </c>
      <c r="H236" s="26">
        <v>0</v>
      </c>
      <c r="I236" s="242"/>
    </row>
    <row r="237" spans="1:9" ht="24.75" customHeight="1">
      <c r="A237" s="79"/>
      <c r="B237" s="80"/>
      <c r="C237" s="2">
        <v>4360</v>
      </c>
      <c r="D237" s="169" t="s">
        <v>216</v>
      </c>
      <c r="E237" s="52">
        <v>41251</v>
      </c>
      <c r="F237" s="126"/>
      <c r="G237" s="52">
        <v>43996</v>
      </c>
      <c r="H237" s="233"/>
      <c r="I237" s="242"/>
    </row>
    <row r="238" spans="1:9" ht="29.25" customHeight="1">
      <c r="A238" s="79"/>
      <c r="B238" s="80"/>
      <c r="C238" s="2">
        <v>4390</v>
      </c>
      <c r="D238" s="169" t="s">
        <v>354</v>
      </c>
      <c r="E238" s="52">
        <v>875</v>
      </c>
      <c r="F238" s="126"/>
      <c r="G238" s="52">
        <v>500</v>
      </c>
      <c r="H238" s="233"/>
      <c r="I238" s="242"/>
    </row>
    <row r="239" spans="1:9" ht="15.75" customHeight="1">
      <c r="A239" s="79"/>
      <c r="B239" s="80"/>
      <c r="C239" s="2">
        <v>4410</v>
      </c>
      <c r="D239" s="169" t="s">
        <v>523</v>
      </c>
      <c r="E239" s="52">
        <v>15131</v>
      </c>
      <c r="F239" s="126"/>
      <c r="G239" s="52">
        <v>14000</v>
      </c>
      <c r="H239" s="233"/>
      <c r="I239" s="242"/>
    </row>
    <row r="240" spans="1:9" ht="15.75" customHeight="1">
      <c r="A240" s="79"/>
      <c r="B240" s="80"/>
      <c r="C240" s="8">
        <v>4430</v>
      </c>
      <c r="D240" s="169" t="s">
        <v>429</v>
      </c>
      <c r="E240" s="52">
        <v>35059</v>
      </c>
      <c r="F240" s="126"/>
      <c r="G240" s="52">
        <v>41800</v>
      </c>
      <c r="H240" s="233"/>
      <c r="I240" s="242"/>
    </row>
    <row r="241" spans="1:9" ht="24" customHeight="1">
      <c r="A241" s="79"/>
      <c r="B241" s="80"/>
      <c r="C241" s="8">
        <v>4440</v>
      </c>
      <c r="D241" s="169" t="s">
        <v>521</v>
      </c>
      <c r="E241" s="52">
        <v>1260908</v>
      </c>
      <c r="F241" s="126"/>
      <c r="G241" s="52">
        <v>1287788</v>
      </c>
      <c r="H241" s="233"/>
      <c r="I241" s="242"/>
    </row>
    <row r="242" spans="1:9" ht="15.75" customHeight="1">
      <c r="A242" s="79"/>
      <c r="B242" s="80"/>
      <c r="C242" s="8">
        <v>4480</v>
      </c>
      <c r="D242" s="169" t="s">
        <v>367</v>
      </c>
      <c r="E242" s="52">
        <v>6879</v>
      </c>
      <c r="F242" s="126"/>
      <c r="G242" s="52">
        <v>7770</v>
      </c>
      <c r="H242" s="233"/>
      <c r="I242" s="242"/>
    </row>
    <row r="243" spans="1:9" ht="15.75" customHeight="1">
      <c r="A243" s="79"/>
      <c r="B243" s="80"/>
      <c r="C243" s="8">
        <v>4510</v>
      </c>
      <c r="D243" s="169" t="s">
        <v>484</v>
      </c>
      <c r="E243" s="52">
        <v>450</v>
      </c>
      <c r="F243" s="126"/>
      <c r="G243" s="52">
        <v>450</v>
      </c>
      <c r="H243" s="233"/>
      <c r="I243" s="242"/>
    </row>
    <row r="244" spans="1:9" ht="23.25" customHeight="1">
      <c r="A244" s="79"/>
      <c r="B244" s="80"/>
      <c r="C244" s="8">
        <v>4520</v>
      </c>
      <c r="D244" s="169" t="s">
        <v>417</v>
      </c>
      <c r="E244" s="52">
        <v>36678</v>
      </c>
      <c r="F244" s="126"/>
      <c r="G244" s="52">
        <v>38701</v>
      </c>
      <c r="H244" s="233"/>
      <c r="I244" s="242"/>
    </row>
    <row r="245" spans="1:9" ht="23.25" customHeight="1">
      <c r="A245" s="79"/>
      <c r="B245" s="80"/>
      <c r="C245" s="8">
        <v>4610</v>
      </c>
      <c r="D245" s="169" t="s">
        <v>508</v>
      </c>
      <c r="E245" s="52">
        <v>370</v>
      </c>
      <c r="F245" s="126"/>
      <c r="G245" s="52"/>
      <c r="H245" s="233"/>
      <c r="I245" s="242"/>
    </row>
    <row r="246" spans="1:9" ht="23.25" customHeight="1">
      <c r="A246" s="79"/>
      <c r="B246" s="80"/>
      <c r="C246" s="8">
        <v>4700</v>
      </c>
      <c r="D246" s="169" t="s">
        <v>418</v>
      </c>
      <c r="E246" s="52">
        <v>28035</v>
      </c>
      <c r="F246" s="126"/>
      <c r="G246" s="52">
        <v>30850</v>
      </c>
      <c r="H246" s="233"/>
      <c r="I246" s="242"/>
    </row>
    <row r="247" spans="1:9" ht="23.25" customHeight="1">
      <c r="A247" s="79"/>
      <c r="B247" s="80"/>
      <c r="C247" s="2">
        <v>6050</v>
      </c>
      <c r="D247" s="169" t="s">
        <v>457</v>
      </c>
      <c r="E247" s="52">
        <v>955000</v>
      </c>
      <c r="F247" s="126"/>
      <c r="G247" s="52">
        <f>20000+28000+1257620</f>
        <v>1305620</v>
      </c>
      <c r="H247" s="233"/>
      <c r="I247" s="242"/>
    </row>
    <row r="248" spans="1:9" ht="24" customHeight="1">
      <c r="A248" s="79"/>
      <c r="B248" s="80"/>
      <c r="C248" s="2">
        <v>6060</v>
      </c>
      <c r="D248" s="169" t="s">
        <v>538</v>
      </c>
      <c r="E248" s="52">
        <v>12260</v>
      </c>
      <c r="F248" s="126"/>
      <c r="G248" s="52"/>
      <c r="H248" s="233"/>
      <c r="I248" s="241"/>
    </row>
    <row r="249" spans="1:9" s="53" customFormat="1" ht="27.75" customHeight="1">
      <c r="A249" s="99"/>
      <c r="B249" s="46">
        <v>80103</v>
      </c>
      <c r="C249" s="36"/>
      <c r="D249" s="174" t="s">
        <v>328</v>
      </c>
      <c r="E249" s="90">
        <f>SUM(E250:E262)</f>
        <v>210019</v>
      </c>
      <c r="F249" s="225"/>
      <c r="G249" s="90">
        <f>SUM(G250:G262)</f>
        <v>0</v>
      </c>
      <c r="H249" s="284"/>
      <c r="I249" s="242"/>
    </row>
    <row r="250" spans="1:9" s="53" customFormat="1" ht="24" customHeight="1">
      <c r="A250" s="99"/>
      <c r="B250" s="97"/>
      <c r="C250" s="8">
        <v>3020</v>
      </c>
      <c r="D250" s="169" t="s">
        <v>284</v>
      </c>
      <c r="E250" s="87">
        <v>56</v>
      </c>
      <c r="F250" s="225"/>
      <c r="G250" s="87"/>
      <c r="H250" s="284"/>
      <c r="I250" s="289"/>
    </row>
    <row r="251" spans="1:9" ht="16.5" customHeight="1">
      <c r="A251" s="79"/>
      <c r="B251" s="80"/>
      <c r="C251" s="8">
        <v>4010</v>
      </c>
      <c r="D251" s="169" t="s">
        <v>492</v>
      </c>
      <c r="E251" s="52">
        <v>134410</v>
      </c>
      <c r="F251" s="126"/>
      <c r="G251" s="52"/>
      <c r="H251" s="233"/>
      <c r="I251" s="242"/>
    </row>
    <row r="252" spans="1:9" ht="16.5" customHeight="1">
      <c r="A252" s="79"/>
      <c r="B252" s="80"/>
      <c r="C252" s="8">
        <v>4040</v>
      </c>
      <c r="D252" s="169" t="s">
        <v>493</v>
      </c>
      <c r="E252" s="52">
        <v>27545</v>
      </c>
      <c r="F252" s="126"/>
      <c r="G252" s="52"/>
      <c r="H252" s="233"/>
      <c r="I252" s="242"/>
    </row>
    <row r="253" spans="1:9" ht="16.5" customHeight="1">
      <c r="A253" s="79"/>
      <c r="B253" s="80"/>
      <c r="C253" s="8">
        <v>4110</v>
      </c>
      <c r="D253" s="169" t="s">
        <v>519</v>
      </c>
      <c r="E253" s="52">
        <v>26824</v>
      </c>
      <c r="F253" s="126"/>
      <c r="G253" s="52"/>
      <c r="H253" s="233"/>
      <c r="I253" s="242"/>
    </row>
    <row r="254" spans="1:9" ht="16.5" customHeight="1">
      <c r="A254" s="79"/>
      <c r="B254" s="80"/>
      <c r="C254" s="8">
        <v>4120</v>
      </c>
      <c r="D254" s="169" t="s">
        <v>520</v>
      </c>
      <c r="E254" s="52">
        <v>3392</v>
      </c>
      <c r="F254" s="126"/>
      <c r="G254" s="52"/>
      <c r="H254" s="233"/>
      <c r="I254" s="242"/>
    </row>
    <row r="255" spans="1:9" ht="16.5" customHeight="1">
      <c r="A255" s="79"/>
      <c r="B255" s="80"/>
      <c r="C255" s="8">
        <v>4170</v>
      </c>
      <c r="D255" s="169" t="s">
        <v>526</v>
      </c>
      <c r="E255" s="52">
        <v>0</v>
      </c>
      <c r="F255" s="126"/>
      <c r="G255" s="52"/>
      <c r="H255" s="233"/>
      <c r="I255" s="242"/>
    </row>
    <row r="256" spans="1:9" ht="16.5" customHeight="1">
      <c r="A256" s="79"/>
      <c r="B256" s="80"/>
      <c r="C256" s="8">
        <v>4210</v>
      </c>
      <c r="D256" s="169" t="s">
        <v>449</v>
      </c>
      <c r="E256" s="52">
        <v>420</v>
      </c>
      <c r="F256" s="126"/>
      <c r="G256" s="52"/>
      <c r="H256" s="233"/>
      <c r="I256" s="242"/>
    </row>
    <row r="257" spans="1:9" ht="17.25" customHeight="1">
      <c r="A257" s="79"/>
      <c r="B257" s="80"/>
      <c r="C257" s="8">
        <v>4240</v>
      </c>
      <c r="D257" s="169" t="s">
        <v>405</v>
      </c>
      <c r="E257" s="52">
        <v>0</v>
      </c>
      <c r="F257" s="126"/>
      <c r="G257" s="52"/>
      <c r="H257" s="233"/>
      <c r="I257" s="242"/>
    </row>
    <row r="258" spans="1:9" ht="16.5" customHeight="1">
      <c r="A258" s="79"/>
      <c r="B258" s="80"/>
      <c r="C258" s="8">
        <v>4260</v>
      </c>
      <c r="D258" s="169" t="s">
        <v>533</v>
      </c>
      <c r="E258" s="52">
        <v>5560</v>
      </c>
      <c r="F258" s="126"/>
      <c r="G258" s="52"/>
      <c r="H258" s="233"/>
      <c r="I258" s="242"/>
    </row>
    <row r="259" spans="1:9" ht="16.5" customHeight="1">
      <c r="A259" s="79"/>
      <c r="B259" s="80"/>
      <c r="C259" s="8">
        <v>4280</v>
      </c>
      <c r="D259" s="169" t="s">
        <v>286</v>
      </c>
      <c r="E259" s="52">
        <v>0</v>
      </c>
      <c r="F259" s="126"/>
      <c r="G259" s="52"/>
      <c r="H259" s="233"/>
      <c r="I259" s="242"/>
    </row>
    <row r="260" spans="1:9" ht="16.5" customHeight="1">
      <c r="A260" s="79"/>
      <c r="B260" s="80"/>
      <c r="C260" s="8">
        <v>4300</v>
      </c>
      <c r="D260" s="169" t="s">
        <v>446</v>
      </c>
      <c r="E260" s="52">
        <v>911</v>
      </c>
      <c r="F260" s="126"/>
      <c r="G260" s="52"/>
      <c r="H260" s="233"/>
      <c r="I260" s="242"/>
    </row>
    <row r="261" spans="1:9" ht="24" customHeight="1">
      <c r="A261" s="79"/>
      <c r="B261" s="80"/>
      <c r="C261" s="8">
        <v>4440</v>
      </c>
      <c r="D261" s="169" t="s">
        <v>521</v>
      </c>
      <c r="E261" s="52">
        <v>10714</v>
      </c>
      <c r="F261" s="126"/>
      <c r="G261" s="52"/>
      <c r="H261" s="233"/>
      <c r="I261" s="242"/>
    </row>
    <row r="262" spans="1:9" ht="24" customHeight="1">
      <c r="A262" s="79"/>
      <c r="B262" s="80"/>
      <c r="C262" s="8">
        <v>4520</v>
      </c>
      <c r="D262" s="169" t="s">
        <v>417</v>
      </c>
      <c r="E262" s="72">
        <v>187</v>
      </c>
      <c r="F262" s="126"/>
      <c r="G262" s="72"/>
      <c r="H262" s="233"/>
      <c r="I262" s="241"/>
    </row>
    <row r="263" spans="1:9" ht="20.25" customHeight="1">
      <c r="A263" s="97"/>
      <c r="B263" s="46">
        <v>80104</v>
      </c>
      <c r="C263" s="35"/>
      <c r="D263" s="174" t="s">
        <v>287</v>
      </c>
      <c r="E263" s="90">
        <f>SUM(E264:E291)</f>
        <v>29850504.85</v>
      </c>
      <c r="F263" s="126"/>
      <c r="G263" s="90">
        <f>SUM(G264:G291)</f>
        <v>26599084</v>
      </c>
      <c r="H263" s="233"/>
      <c r="I263" s="242">
        <f>G263/E263*100</f>
        <v>89.10765206036373</v>
      </c>
    </row>
    <row r="264" spans="1:9" ht="26.25" customHeight="1">
      <c r="A264" s="80"/>
      <c r="B264" s="286"/>
      <c r="C264" s="13">
        <v>2540</v>
      </c>
      <c r="D264" s="169" t="s">
        <v>288</v>
      </c>
      <c r="E264" s="52">
        <v>1547500</v>
      </c>
      <c r="F264" s="126"/>
      <c r="G264" s="52">
        <v>2016900</v>
      </c>
      <c r="H264" s="233"/>
      <c r="I264" s="289"/>
    </row>
    <row r="265" spans="1:9" ht="25.5" customHeight="1">
      <c r="A265" s="80"/>
      <c r="B265" s="286"/>
      <c r="C265" s="13">
        <v>3020</v>
      </c>
      <c r="D265" s="169" t="s">
        <v>525</v>
      </c>
      <c r="E265" s="52">
        <v>101256.1</v>
      </c>
      <c r="F265" s="126"/>
      <c r="G265" s="52">
        <v>88342</v>
      </c>
      <c r="H265" s="233"/>
      <c r="I265" s="242"/>
    </row>
    <row r="266" spans="1:9" ht="16.5" customHeight="1">
      <c r="A266" s="80"/>
      <c r="B266" s="286"/>
      <c r="C266" s="2">
        <v>4010</v>
      </c>
      <c r="D266" s="169" t="s">
        <v>492</v>
      </c>
      <c r="E266" s="52">
        <v>17023568.1</v>
      </c>
      <c r="F266" s="126"/>
      <c r="G266" s="52">
        <v>13510488</v>
      </c>
      <c r="H266" s="233"/>
      <c r="I266" s="242"/>
    </row>
    <row r="267" spans="1:9" ht="16.5" customHeight="1">
      <c r="A267" s="80"/>
      <c r="B267" s="286"/>
      <c r="C267" s="2">
        <v>4040</v>
      </c>
      <c r="D267" s="169" t="s">
        <v>493</v>
      </c>
      <c r="E267" s="52">
        <v>1481450.84</v>
      </c>
      <c r="F267" s="126"/>
      <c r="G267" s="52">
        <v>1514572</v>
      </c>
      <c r="H267" s="233"/>
      <c r="I267" s="242"/>
    </row>
    <row r="268" spans="1:9" ht="16.5" customHeight="1">
      <c r="A268" s="80"/>
      <c r="B268" s="286"/>
      <c r="C268" s="2">
        <v>4110</v>
      </c>
      <c r="D268" s="169" t="s">
        <v>519</v>
      </c>
      <c r="E268" s="52">
        <v>3024227</v>
      </c>
      <c r="F268" s="126"/>
      <c r="G268" s="52">
        <v>3124169</v>
      </c>
      <c r="H268" s="233"/>
      <c r="I268" s="242"/>
    </row>
    <row r="269" spans="1:9" ht="16.5" customHeight="1">
      <c r="A269" s="80"/>
      <c r="B269" s="286"/>
      <c r="C269" s="2">
        <v>4120</v>
      </c>
      <c r="D269" s="169" t="s">
        <v>520</v>
      </c>
      <c r="E269" s="52">
        <v>382169</v>
      </c>
      <c r="F269" s="126"/>
      <c r="G269" s="52">
        <v>443662</v>
      </c>
      <c r="H269" s="233"/>
      <c r="I269" s="242"/>
    </row>
    <row r="270" spans="1:9" ht="24" customHeight="1">
      <c r="A270" s="80"/>
      <c r="B270" s="286"/>
      <c r="C270" s="13">
        <v>4140</v>
      </c>
      <c r="D270" s="169" t="s">
        <v>320</v>
      </c>
      <c r="E270" s="52">
        <v>3000</v>
      </c>
      <c r="F270" s="126"/>
      <c r="G270" s="52">
        <v>12300</v>
      </c>
      <c r="H270" s="233"/>
      <c r="I270" s="242"/>
    </row>
    <row r="271" spans="1:9" ht="16.5" customHeight="1">
      <c r="A271" s="80"/>
      <c r="B271" s="286"/>
      <c r="C271" s="2">
        <v>4170</v>
      </c>
      <c r="D271" s="169" t="s">
        <v>526</v>
      </c>
      <c r="E271" s="52">
        <v>9020</v>
      </c>
      <c r="F271" s="126"/>
      <c r="G271" s="52">
        <v>24980</v>
      </c>
      <c r="H271" s="233"/>
      <c r="I271" s="242"/>
    </row>
    <row r="272" spans="1:9" ht="16.5" customHeight="1">
      <c r="A272" s="80"/>
      <c r="B272" s="286"/>
      <c r="C272" s="2">
        <v>4210</v>
      </c>
      <c r="D272" s="169" t="s">
        <v>527</v>
      </c>
      <c r="E272" s="52">
        <v>618135.33</v>
      </c>
      <c r="F272" s="126"/>
      <c r="G272" s="52">
        <v>545821</v>
      </c>
      <c r="H272" s="233"/>
      <c r="I272" s="242"/>
    </row>
    <row r="273" spans="1:9" ht="16.5" customHeight="1">
      <c r="A273" s="80"/>
      <c r="B273" s="286"/>
      <c r="C273" s="2">
        <v>4220</v>
      </c>
      <c r="D273" s="169" t="s">
        <v>322</v>
      </c>
      <c r="E273" s="52">
        <v>2066496</v>
      </c>
      <c r="F273" s="126"/>
      <c r="G273" s="52">
        <v>2088155</v>
      </c>
      <c r="H273" s="233"/>
      <c r="I273" s="242"/>
    </row>
    <row r="274" spans="1:9" ht="18.75" customHeight="1">
      <c r="A274" s="80"/>
      <c r="B274" s="286"/>
      <c r="C274" s="2">
        <v>4240</v>
      </c>
      <c r="D274" s="169" t="s">
        <v>405</v>
      </c>
      <c r="E274" s="52">
        <v>46095.1</v>
      </c>
      <c r="F274" s="126"/>
      <c r="G274" s="52">
        <v>36325</v>
      </c>
      <c r="H274" s="233"/>
      <c r="I274" s="242"/>
    </row>
    <row r="275" spans="1:9" ht="16.5" customHeight="1">
      <c r="A275" s="80"/>
      <c r="B275" s="286"/>
      <c r="C275" s="2">
        <v>4260</v>
      </c>
      <c r="D275" s="169" t="s">
        <v>533</v>
      </c>
      <c r="E275" s="52">
        <v>1105900</v>
      </c>
      <c r="F275" s="126"/>
      <c r="G275" s="52">
        <v>980900</v>
      </c>
      <c r="H275" s="233"/>
      <c r="I275" s="242"/>
    </row>
    <row r="276" spans="1:9" ht="16.5" customHeight="1">
      <c r="A276" s="80"/>
      <c r="B276" s="286"/>
      <c r="C276" s="2">
        <v>4270</v>
      </c>
      <c r="D276" s="169" t="s">
        <v>450</v>
      </c>
      <c r="E276" s="52">
        <v>254782</v>
      </c>
      <c r="F276" s="126"/>
      <c r="G276" s="52">
        <v>129049</v>
      </c>
      <c r="H276" s="233"/>
      <c r="I276" s="242"/>
    </row>
    <row r="277" spans="1:9" ht="16.5" customHeight="1">
      <c r="A277" s="80"/>
      <c r="B277" s="286"/>
      <c r="C277" s="2">
        <v>4280</v>
      </c>
      <c r="D277" s="201" t="s">
        <v>286</v>
      </c>
      <c r="E277" s="52">
        <v>17146.31</v>
      </c>
      <c r="F277" s="126"/>
      <c r="G277" s="52">
        <v>24560</v>
      </c>
      <c r="H277" s="233"/>
      <c r="I277" s="242"/>
    </row>
    <row r="278" spans="1:9" ht="16.5" customHeight="1">
      <c r="A278" s="80"/>
      <c r="B278" s="286"/>
      <c r="C278" s="2">
        <v>4300</v>
      </c>
      <c r="D278" s="169" t="s">
        <v>489</v>
      </c>
      <c r="E278" s="52">
        <v>662160.24</v>
      </c>
      <c r="F278" s="126"/>
      <c r="G278" s="52">
        <v>618032</v>
      </c>
      <c r="H278" s="233"/>
      <c r="I278" s="242"/>
    </row>
    <row r="279" spans="1:9" ht="36" customHeight="1">
      <c r="A279" s="80"/>
      <c r="B279" s="286"/>
      <c r="C279" s="2">
        <v>4330</v>
      </c>
      <c r="D279" s="169" t="s">
        <v>261</v>
      </c>
      <c r="E279" s="52">
        <v>152000</v>
      </c>
      <c r="F279" s="126"/>
      <c r="G279" s="52">
        <v>180000</v>
      </c>
      <c r="H279" s="233"/>
      <c r="I279" s="242"/>
    </row>
    <row r="280" spans="1:9" ht="24.75" customHeight="1">
      <c r="A280" s="80"/>
      <c r="B280" s="286"/>
      <c r="C280" s="2">
        <v>4360</v>
      </c>
      <c r="D280" s="169" t="s">
        <v>216</v>
      </c>
      <c r="E280" s="52">
        <v>58378</v>
      </c>
      <c r="F280" s="126"/>
      <c r="G280" s="52">
        <v>68700</v>
      </c>
      <c r="H280" s="233"/>
      <c r="I280" s="242"/>
    </row>
    <row r="281" spans="1:9" ht="24" customHeight="1">
      <c r="A281" s="80"/>
      <c r="B281" s="286"/>
      <c r="C281" s="2">
        <v>4390</v>
      </c>
      <c r="D281" s="169" t="s">
        <v>354</v>
      </c>
      <c r="E281" s="52">
        <v>6670</v>
      </c>
      <c r="F281" s="126"/>
      <c r="G281" s="52">
        <v>1750</v>
      </c>
      <c r="H281" s="233"/>
      <c r="I281" s="242"/>
    </row>
    <row r="282" spans="1:9" ht="24" customHeight="1">
      <c r="A282" s="80"/>
      <c r="B282" s="286"/>
      <c r="C282" s="2">
        <v>4400</v>
      </c>
      <c r="D282" s="169" t="s">
        <v>291</v>
      </c>
      <c r="E282" s="52">
        <v>25200</v>
      </c>
      <c r="F282" s="126"/>
      <c r="G282" s="52">
        <v>25200</v>
      </c>
      <c r="H282" s="233"/>
      <c r="I282" s="242"/>
    </row>
    <row r="283" spans="1:9" ht="16.5" customHeight="1">
      <c r="A283" s="80"/>
      <c r="B283" s="286"/>
      <c r="C283" s="2">
        <v>4410</v>
      </c>
      <c r="D283" s="169" t="s">
        <v>523</v>
      </c>
      <c r="E283" s="52">
        <v>15654.8</v>
      </c>
      <c r="F283" s="126"/>
      <c r="G283" s="52">
        <v>17700</v>
      </c>
      <c r="H283" s="233"/>
      <c r="I283" s="242"/>
    </row>
    <row r="284" spans="1:9" ht="16.5" customHeight="1">
      <c r="A284" s="80"/>
      <c r="B284" s="286"/>
      <c r="C284" s="2">
        <v>4430</v>
      </c>
      <c r="D284" s="169" t="s">
        <v>429</v>
      </c>
      <c r="E284" s="52">
        <v>22588</v>
      </c>
      <c r="F284" s="126"/>
      <c r="G284" s="52">
        <v>27624</v>
      </c>
      <c r="H284" s="233"/>
      <c r="I284" s="242"/>
    </row>
    <row r="285" spans="1:9" ht="24.75" customHeight="1">
      <c r="A285" s="80"/>
      <c r="B285" s="286"/>
      <c r="C285" s="2">
        <v>4440</v>
      </c>
      <c r="D285" s="169" t="s">
        <v>521</v>
      </c>
      <c r="E285" s="52">
        <v>1020916.43</v>
      </c>
      <c r="F285" s="126"/>
      <c r="G285" s="52">
        <v>1026145</v>
      </c>
      <c r="H285" s="233"/>
      <c r="I285" s="242"/>
    </row>
    <row r="286" spans="1:9" ht="16.5" customHeight="1">
      <c r="A286" s="80"/>
      <c r="B286" s="286"/>
      <c r="C286" s="2">
        <v>4480</v>
      </c>
      <c r="D286" s="169" t="s">
        <v>367</v>
      </c>
      <c r="E286" s="52">
        <v>5885</v>
      </c>
      <c r="F286" s="126"/>
      <c r="G286" s="52">
        <v>5900</v>
      </c>
      <c r="H286" s="233"/>
      <c r="I286" s="242"/>
    </row>
    <row r="287" spans="1:9" ht="16.5" customHeight="1">
      <c r="A287" s="80"/>
      <c r="B287" s="286"/>
      <c r="C287" s="2">
        <v>4510</v>
      </c>
      <c r="D287" s="169" t="s">
        <v>325</v>
      </c>
      <c r="E287" s="52">
        <v>1025</v>
      </c>
      <c r="F287" s="126"/>
      <c r="G287" s="52">
        <v>1055</v>
      </c>
      <c r="H287" s="233"/>
      <c r="I287" s="242"/>
    </row>
    <row r="288" spans="1:9" ht="24.75" customHeight="1">
      <c r="A288" s="80"/>
      <c r="B288" s="286"/>
      <c r="C288" s="2">
        <v>4520</v>
      </c>
      <c r="D288" s="169" t="s">
        <v>417</v>
      </c>
      <c r="E288" s="52">
        <v>46683.6</v>
      </c>
      <c r="F288" s="126"/>
      <c r="G288" s="52">
        <v>50815</v>
      </c>
      <c r="H288" s="233"/>
      <c r="I288" s="242"/>
    </row>
    <row r="289" spans="1:9" ht="24.75" customHeight="1">
      <c r="A289" s="80"/>
      <c r="B289" s="286"/>
      <c r="C289" s="2">
        <v>4700</v>
      </c>
      <c r="D289" s="169" t="s">
        <v>418</v>
      </c>
      <c r="E289" s="52">
        <v>38279</v>
      </c>
      <c r="F289" s="126"/>
      <c r="G289" s="52">
        <v>35940</v>
      </c>
      <c r="H289" s="233"/>
      <c r="I289" s="242"/>
    </row>
    <row r="290" spans="1:9" ht="24.75" customHeight="1">
      <c r="A290" s="80"/>
      <c r="B290" s="286"/>
      <c r="C290" s="2">
        <v>6050</v>
      </c>
      <c r="D290" s="169" t="s">
        <v>457</v>
      </c>
      <c r="E290" s="72">
        <v>70514</v>
      </c>
      <c r="F290" s="126"/>
      <c r="G290" s="72"/>
      <c r="H290" s="233"/>
      <c r="I290" s="242"/>
    </row>
    <row r="291" spans="1:9" ht="24" customHeight="1">
      <c r="A291" s="80"/>
      <c r="B291" s="286"/>
      <c r="C291" s="2">
        <v>6060</v>
      </c>
      <c r="D291" s="169" t="s">
        <v>538</v>
      </c>
      <c r="E291" s="72">
        <v>43805</v>
      </c>
      <c r="F291" s="126"/>
      <c r="G291" s="72"/>
      <c r="H291" s="233"/>
      <c r="I291" s="241"/>
    </row>
    <row r="292" spans="1:9" ht="20.25" customHeight="1">
      <c r="A292" s="97"/>
      <c r="B292" s="46">
        <v>80110</v>
      </c>
      <c r="C292" s="24"/>
      <c r="D292" s="174" t="s">
        <v>350</v>
      </c>
      <c r="E292" s="90">
        <f>SUM(E293:E319)</f>
        <v>21843404.130000003</v>
      </c>
      <c r="F292" s="90">
        <f>SUM(F293:F319)</f>
        <v>223319.13</v>
      </c>
      <c r="G292" s="90">
        <f>SUM(G293:G319)</f>
        <v>19328067</v>
      </c>
      <c r="H292" s="90">
        <f>SUM(H293:H319)</f>
        <v>0</v>
      </c>
      <c r="I292" s="242">
        <f>G292/E292*100</f>
        <v>88.48468345396124</v>
      </c>
    </row>
    <row r="293" spans="1:9" ht="23.25" customHeight="1">
      <c r="A293" s="80"/>
      <c r="B293" s="286"/>
      <c r="C293" s="2">
        <v>2540</v>
      </c>
      <c r="D293" s="169" t="s">
        <v>288</v>
      </c>
      <c r="E293" s="87">
        <v>548800</v>
      </c>
      <c r="F293" s="126"/>
      <c r="G293" s="87">
        <v>477230</v>
      </c>
      <c r="H293" s="233"/>
      <c r="I293" s="289"/>
    </row>
    <row r="294" spans="1:9" ht="50.25" customHeight="1">
      <c r="A294" s="80"/>
      <c r="B294" s="286"/>
      <c r="C294" s="2">
        <v>2830</v>
      </c>
      <c r="D294" s="169" t="s">
        <v>174</v>
      </c>
      <c r="E294" s="87">
        <v>5148.38</v>
      </c>
      <c r="F294" s="52">
        <v>5148.38</v>
      </c>
      <c r="G294" s="87"/>
      <c r="H294" s="26"/>
      <c r="I294" s="242"/>
    </row>
    <row r="295" spans="1:9" ht="24" customHeight="1">
      <c r="A295" s="80"/>
      <c r="B295" s="9"/>
      <c r="C295" s="2">
        <v>3020</v>
      </c>
      <c r="D295" s="169" t="s">
        <v>284</v>
      </c>
      <c r="E295" s="52">
        <v>114038</v>
      </c>
      <c r="F295" s="126"/>
      <c r="G295" s="52">
        <v>78175</v>
      </c>
      <c r="H295" s="233"/>
      <c r="I295" s="242"/>
    </row>
    <row r="296" spans="1:9" ht="16.5" customHeight="1">
      <c r="A296" s="80"/>
      <c r="B296" s="9"/>
      <c r="C296" s="2">
        <v>4010</v>
      </c>
      <c r="D296" s="169" t="s">
        <v>492</v>
      </c>
      <c r="E296" s="52">
        <v>13342242</v>
      </c>
      <c r="F296" s="126"/>
      <c r="G296" s="52">
        <v>12609157</v>
      </c>
      <c r="H296" s="233"/>
      <c r="I296" s="242"/>
    </row>
    <row r="297" spans="1:9" ht="16.5" customHeight="1">
      <c r="A297" s="80"/>
      <c r="B297" s="9"/>
      <c r="C297" s="2">
        <v>4040</v>
      </c>
      <c r="D297" s="169" t="s">
        <v>493</v>
      </c>
      <c r="E297" s="52">
        <v>1189801</v>
      </c>
      <c r="F297" s="126"/>
      <c r="G297" s="52">
        <v>1161361</v>
      </c>
      <c r="H297" s="233"/>
      <c r="I297" s="242"/>
    </row>
    <row r="298" spans="1:9" ht="16.5" customHeight="1">
      <c r="A298" s="80"/>
      <c r="B298" s="9"/>
      <c r="C298" s="2">
        <v>4110</v>
      </c>
      <c r="D298" s="169" t="s">
        <v>519</v>
      </c>
      <c r="E298" s="52">
        <v>2377710</v>
      </c>
      <c r="F298" s="126"/>
      <c r="G298" s="52">
        <v>2368072</v>
      </c>
      <c r="H298" s="233"/>
      <c r="I298" s="242"/>
    </row>
    <row r="299" spans="1:9" ht="16.5" customHeight="1">
      <c r="A299" s="80"/>
      <c r="B299" s="9"/>
      <c r="C299" s="2">
        <v>4120</v>
      </c>
      <c r="D299" s="169" t="s">
        <v>520</v>
      </c>
      <c r="E299" s="52">
        <v>304288</v>
      </c>
      <c r="F299" s="126"/>
      <c r="G299" s="52">
        <v>357105</v>
      </c>
      <c r="H299" s="233"/>
      <c r="I299" s="242"/>
    </row>
    <row r="300" spans="1:9" ht="23.25" customHeight="1">
      <c r="A300" s="80"/>
      <c r="B300" s="9"/>
      <c r="C300" s="2">
        <v>4140</v>
      </c>
      <c r="D300" s="169" t="s">
        <v>320</v>
      </c>
      <c r="E300" s="52">
        <v>550</v>
      </c>
      <c r="F300" s="126"/>
      <c r="G300" s="52">
        <v>2000</v>
      </c>
      <c r="H300" s="233"/>
      <c r="I300" s="242"/>
    </row>
    <row r="301" spans="1:9" ht="16.5" customHeight="1">
      <c r="A301" s="80"/>
      <c r="B301" s="9"/>
      <c r="C301" s="2">
        <v>4170</v>
      </c>
      <c r="D301" s="169" t="s">
        <v>526</v>
      </c>
      <c r="E301" s="52">
        <v>43218</v>
      </c>
      <c r="F301" s="126"/>
      <c r="G301" s="52">
        <v>43200</v>
      </c>
      <c r="H301" s="233"/>
      <c r="I301" s="242"/>
    </row>
    <row r="302" spans="1:9" ht="16.5" customHeight="1">
      <c r="A302" s="80"/>
      <c r="B302" s="9"/>
      <c r="C302" s="2">
        <v>4210</v>
      </c>
      <c r="D302" s="169" t="s">
        <v>449</v>
      </c>
      <c r="E302" s="52">
        <v>305427</v>
      </c>
      <c r="F302" s="126"/>
      <c r="G302" s="52">
        <v>210635</v>
      </c>
      <c r="H302" s="233"/>
      <c r="I302" s="242"/>
    </row>
    <row r="303" spans="1:9" ht="16.5" customHeight="1">
      <c r="A303" s="80"/>
      <c r="B303" s="9"/>
      <c r="C303" s="2">
        <v>4220</v>
      </c>
      <c r="D303" s="169" t="s">
        <v>322</v>
      </c>
      <c r="E303" s="52">
        <v>1200</v>
      </c>
      <c r="F303" s="126"/>
      <c r="G303" s="52"/>
      <c r="H303" s="233"/>
      <c r="I303" s="242"/>
    </row>
    <row r="304" spans="1:9" ht="18" customHeight="1">
      <c r="A304" s="80"/>
      <c r="B304" s="9"/>
      <c r="C304" s="2">
        <v>4240</v>
      </c>
      <c r="D304" s="169" t="s">
        <v>405</v>
      </c>
      <c r="E304" s="52">
        <v>305959.67</v>
      </c>
      <c r="F304" s="52">
        <v>215959.67</v>
      </c>
      <c r="G304" s="52">
        <v>41743</v>
      </c>
      <c r="H304" s="26"/>
      <c r="I304" s="242"/>
    </row>
    <row r="305" spans="1:9" ht="16.5" customHeight="1">
      <c r="A305" s="80"/>
      <c r="B305" s="9"/>
      <c r="C305" s="2">
        <v>4260</v>
      </c>
      <c r="D305" s="169" t="s">
        <v>533</v>
      </c>
      <c r="E305" s="52">
        <v>695850</v>
      </c>
      <c r="F305" s="126"/>
      <c r="G305" s="52">
        <v>595966</v>
      </c>
      <c r="H305" s="233"/>
      <c r="I305" s="242"/>
    </row>
    <row r="306" spans="1:9" ht="16.5" customHeight="1">
      <c r="A306" s="80"/>
      <c r="B306" s="9"/>
      <c r="C306" s="2">
        <v>4270</v>
      </c>
      <c r="D306" s="169" t="s">
        <v>450</v>
      </c>
      <c r="E306" s="52">
        <v>133131</v>
      </c>
      <c r="F306" s="126"/>
      <c r="G306" s="52">
        <v>56308</v>
      </c>
      <c r="H306" s="233"/>
      <c r="I306" s="242"/>
    </row>
    <row r="307" spans="1:9" ht="16.5" customHeight="1">
      <c r="A307" s="80"/>
      <c r="B307" s="9"/>
      <c r="C307" s="2">
        <v>4280</v>
      </c>
      <c r="D307" s="169" t="s">
        <v>286</v>
      </c>
      <c r="E307" s="52">
        <v>11775</v>
      </c>
      <c r="F307" s="126"/>
      <c r="G307" s="52">
        <v>16325</v>
      </c>
      <c r="H307" s="233"/>
      <c r="I307" s="242"/>
    </row>
    <row r="308" spans="1:9" ht="16.5" customHeight="1">
      <c r="A308" s="80"/>
      <c r="B308" s="9"/>
      <c r="C308" s="2">
        <v>4300</v>
      </c>
      <c r="D308" s="169" t="s">
        <v>446</v>
      </c>
      <c r="E308" s="52">
        <v>313230.08</v>
      </c>
      <c r="F308" s="52">
        <v>2211.08</v>
      </c>
      <c r="G308" s="52">
        <v>338440</v>
      </c>
      <c r="H308" s="26"/>
      <c r="I308" s="242"/>
    </row>
    <row r="309" spans="1:9" ht="24" customHeight="1">
      <c r="A309" s="80"/>
      <c r="B309" s="9"/>
      <c r="C309" s="2">
        <v>4360</v>
      </c>
      <c r="D309" s="169" t="s">
        <v>216</v>
      </c>
      <c r="E309" s="52">
        <v>32701</v>
      </c>
      <c r="F309" s="126"/>
      <c r="G309" s="52">
        <v>31401</v>
      </c>
      <c r="H309" s="233"/>
      <c r="I309" s="242"/>
    </row>
    <row r="310" spans="1:9" ht="24" customHeight="1">
      <c r="A310" s="80"/>
      <c r="B310" s="9"/>
      <c r="C310" s="2">
        <v>4390</v>
      </c>
      <c r="D310" s="169" t="s">
        <v>354</v>
      </c>
      <c r="E310" s="52">
        <v>3030</v>
      </c>
      <c r="F310" s="126"/>
      <c r="G310" s="52">
        <v>3000</v>
      </c>
      <c r="H310" s="233"/>
      <c r="I310" s="242"/>
    </row>
    <row r="311" spans="1:9" ht="15.75" customHeight="1">
      <c r="A311" s="80"/>
      <c r="B311" s="9"/>
      <c r="C311" s="2">
        <v>4410</v>
      </c>
      <c r="D311" s="169" t="s">
        <v>523</v>
      </c>
      <c r="E311" s="52">
        <v>15100</v>
      </c>
      <c r="F311" s="126"/>
      <c r="G311" s="52">
        <v>14700</v>
      </c>
      <c r="H311" s="233"/>
      <c r="I311" s="242"/>
    </row>
    <row r="312" spans="1:9" ht="15.75" customHeight="1">
      <c r="A312" s="80"/>
      <c r="B312" s="9"/>
      <c r="C312" s="2">
        <v>4430</v>
      </c>
      <c r="D312" s="169" t="s">
        <v>429</v>
      </c>
      <c r="E312" s="52">
        <v>26776</v>
      </c>
      <c r="F312" s="126"/>
      <c r="G312" s="52">
        <v>27226</v>
      </c>
      <c r="H312" s="233"/>
      <c r="I312" s="242"/>
    </row>
    <row r="313" spans="1:9" ht="24.75" customHeight="1">
      <c r="A313" s="80"/>
      <c r="B313" s="9"/>
      <c r="C313" s="2">
        <v>4440</v>
      </c>
      <c r="D313" s="169" t="s">
        <v>521</v>
      </c>
      <c r="E313" s="52">
        <v>874053</v>
      </c>
      <c r="F313" s="126"/>
      <c r="G313" s="52">
        <v>850892</v>
      </c>
      <c r="H313" s="233"/>
      <c r="I313" s="242"/>
    </row>
    <row r="314" spans="1:9" ht="16.5" customHeight="1">
      <c r="A314" s="80"/>
      <c r="B314" s="9"/>
      <c r="C314" s="2">
        <v>4480</v>
      </c>
      <c r="D314" s="169" t="s">
        <v>367</v>
      </c>
      <c r="E314" s="52">
        <v>1400</v>
      </c>
      <c r="F314" s="126"/>
      <c r="G314" s="52">
        <v>1697</v>
      </c>
      <c r="H314" s="233"/>
      <c r="I314" s="242"/>
    </row>
    <row r="315" spans="1:9" ht="16.5" customHeight="1">
      <c r="A315" s="80"/>
      <c r="B315" s="9"/>
      <c r="C315" s="2">
        <v>4510</v>
      </c>
      <c r="D315" s="169" t="s">
        <v>484</v>
      </c>
      <c r="E315" s="52">
        <v>120</v>
      </c>
      <c r="F315" s="126"/>
      <c r="G315" s="52">
        <v>60</v>
      </c>
      <c r="H315" s="233"/>
      <c r="I315" s="242"/>
    </row>
    <row r="316" spans="1:9" ht="24.75" customHeight="1">
      <c r="A316" s="80"/>
      <c r="B316" s="9"/>
      <c r="C316" s="2">
        <v>4520</v>
      </c>
      <c r="D316" s="169" t="s">
        <v>417</v>
      </c>
      <c r="E316" s="52">
        <v>22708</v>
      </c>
      <c r="F316" s="126"/>
      <c r="G316" s="52">
        <v>21674</v>
      </c>
      <c r="H316" s="233"/>
      <c r="I316" s="242"/>
    </row>
    <row r="317" spans="1:9" ht="24.75" customHeight="1">
      <c r="A317" s="80"/>
      <c r="B317" s="9"/>
      <c r="C317" s="2">
        <v>4610</v>
      </c>
      <c r="D317" s="169" t="s">
        <v>508</v>
      </c>
      <c r="E317" s="52">
        <v>2952</v>
      </c>
      <c r="F317" s="126"/>
      <c r="G317" s="52"/>
      <c r="H317" s="233"/>
      <c r="I317" s="242"/>
    </row>
    <row r="318" spans="1:9" ht="24.75" customHeight="1">
      <c r="A318" s="80"/>
      <c r="B318" s="9"/>
      <c r="C318" s="2">
        <v>4700</v>
      </c>
      <c r="D318" s="169" t="s">
        <v>418</v>
      </c>
      <c r="E318" s="52">
        <v>14196</v>
      </c>
      <c r="F318" s="126"/>
      <c r="G318" s="52">
        <v>16700</v>
      </c>
      <c r="H318" s="233"/>
      <c r="I318" s="242"/>
    </row>
    <row r="319" spans="1:9" ht="27" customHeight="1">
      <c r="A319" s="80"/>
      <c r="B319" s="9"/>
      <c r="C319" s="2">
        <v>6050</v>
      </c>
      <c r="D319" s="169" t="s">
        <v>457</v>
      </c>
      <c r="E319" s="52">
        <v>1158000</v>
      </c>
      <c r="F319" s="126"/>
      <c r="G319" s="52">
        <v>5000</v>
      </c>
      <c r="H319" s="233"/>
      <c r="I319" s="241"/>
    </row>
    <row r="320" spans="1:9" ht="20.25" customHeight="1">
      <c r="A320" s="80"/>
      <c r="B320" s="23">
        <v>80113</v>
      </c>
      <c r="C320" s="24"/>
      <c r="D320" s="174" t="s">
        <v>323</v>
      </c>
      <c r="E320" s="90">
        <f>SUM(E321:E321)</f>
        <v>83753</v>
      </c>
      <c r="F320" s="126"/>
      <c r="G320" s="90">
        <f>SUM(G321:G321)</f>
        <v>91350</v>
      </c>
      <c r="H320" s="233"/>
      <c r="I320" s="241">
        <f>G320/E320*100</f>
        <v>109.07071985481116</v>
      </c>
    </row>
    <row r="321" spans="1:9" ht="16.5" customHeight="1">
      <c r="A321" s="80"/>
      <c r="B321" s="9"/>
      <c r="C321" s="2">
        <v>4300</v>
      </c>
      <c r="D321" s="169" t="s">
        <v>446</v>
      </c>
      <c r="E321" s="52">
        <v>83753</v>
      </c>
      <c r="F321" s="126"/>
      <c r="G321" s="52">
        <v>91350</v>
      </c>
      <c r="H321" s="233"/>
      <c r="I321" s="95"/>
    </row>
    <row r="322" spans="1:9" ht="20.25" customHeight="1">
      <c r="A322" s="80"/>
      <c r="B322" s="46">
        <v>80146</v>
      </c>
      <c r="C322" s="2"/>
      <c r="D322" s="174" t="s">
        <v>257</v>
      </c>
      <c r="E322" s="90">
        <f>SUM(E323:E331)</f>
        <v>456471.12</v>
      </c>
      <c r="F322" s="126"/>
      <c r="G322" s="90">
        <f>SUM(G323:G331)</f>
        <v>465122</v>
      </c>
      <c r="H322" s="233"/>
      <c r="I322" s="289">
        <f>G322/E322*100</f>
        <v>101.89516480253997</v>
      </c>
    </row>
    <row r="323" spans="1:9" ht="24.75" customHeight="1">
      <c r="A323" s="80"/>
      <c r="B323" s="77"/>
      <c r="C323" s="2">
        <v>3020</v>
      </c>
      <c r="D323" s="169" t="s">
        <v>284</v>
      </c>
      <c r="E323" s="52">
        <v>0</v>
      </c>
      <c r="F323" s="126"/>
      <c r="G323" s="52">
        <v>1200</v>
      </c>
      <c r="H323" s="233"/>
      <c r="I323" s="289"/>
    </row>
    <row r="324" spans="1:9" ht="16.5" customHeight="1">
      <c r="A324" s="80"/>
      <c r="B324" s="77"/>
      <c r="C324" s="2">
        <v>4010</v>
      </c>
      <c r="D324" s="169" t="s">
        <v>492</v>
      </c>
      <c r="E324" s="52">
        <v>78728</v>
      </c>
      <c r="F324" s="126"/>
      <c r="G324" s="52">
        <v>80697</v>
      </c>
      <c r="H324" s="233"/>
      <c r="I324" s="242"/>
    </row>
    <row r="325" spans="1:9" ht="16.5" customHeight="1">
      <c r="A325" s="80"/>
      <c r="B325" s="77"/>
      <c r="C325" s="2">
        <v>4110</v>
      </c>
      <c r="D325" s="169" t="s">
        <v>519</v>
      </c>
      <c r="E325" s="52">
        <v>13533</v>
      </c>
      <c r="F325" s="126"/>
      <c r="G325" s="52">
        <v>12914</v>
      </c>
      <c r="H325" s="233"/>
      <c r="I325" s="242"/>
    </row>
    <row r="326" spans="1:9" ht="16.5" customHeight="1">
      <c r="A326" s="80"/>
      <c r="B326" s="77"/>
      <c r="C326" s="2">
        <v>4120</v>
      </c>
      <c r="D326" s="169" t="s">
        <v>520</v>
      </c>
      <c r="E326" s="52">
        <v>1927</v>
      </c>
      <c r="F326" s="126"/>
      <c r="G326" s="52">
        <v>1975</v>
      </c>
      <c r="H326" s="233"/>
      <c r="I326" s="242"/>
    </row>
    <row r="327" spans="1:9" ht="16.5" customHeight="1">
      <c r="A327" s="80"/>
      <c r="B327" s="77"/>
      <c r="C327" s="2">
        <v>4210</v>
      </c>
      <c r="D327" s="169" t="s">
        <v>449</v>
      </c>
      <c r="E327" s="52">
        <v>6449</v>
      </c>
      <c r="F327" s="126"/>
      <c r="G327" s="52">
        <v>6415</v>
      </c>
      <c r="H327" s="233"/>
      <c r="I327" s="242"/>
    </row>
    <row r="328" spans="1:9" ht="18" customHeight="1">
      <c r="A328" s="80"/>
      <c r="B328" s="77"/>
      <c r="C328" s="2">
        <v>4240</v>
      </c>
      <c r="D328" s="169" t="s">
        <v>405</v>
      </c>
      <c r="E328" s="52">
        <v>4869.5</v>
      </c>
      <c r="F328" s="126"/>
      <c r="G328" s="52">
        <v>2957</v>
      </c>
      <c r="H328" s="233"/>
      <c r="I328" s="242"/>
    </row>
    <row r="329" spans="1:9" ht="16.5" customHeight="1">
      <c r="A329" s="80"/>
      <c r="B329" s="77"/>
      <c r="C329" s="2">
        <v>4300</v>
      </c>
      <c r="D329" s="169" t="s">
        <v>446</v>
      </c>
      <c r="E329" s="52">
        <v>62463.12</v>
      </c>
      <c r="F329" s="126"/>
      <c r="G329" s="52">
        <v>83306</v>
      </c>
      <c r="H329" s="233"/>
      <c r="I329" s="242"/>
    </row>
    <row r="330" spans="1:9" ht="16.5" customHeight="1">
      <c r="A330" s="80"/>
      <c r="B330" s="77"/>
      <c r="C330" s="2">
        <v>4410</v>
      </c>
      <c r="D330" s="169" t="s">
        <v>523</v>
      </c>
      <c r="E330" s="52">
        <v>25224</v>
      </c>
      <c r="F330" s="126"/>
      <c r="G330" s="52">
        <v>24497</v>
      </c>
      <c r="H330" s="233"/>
      <c r="I330" s="242"/>
    </row>
    <row r="331" spans="1:9" ht="24" customHeight="1">
      <c r="A331" s="80"/>
      <c r="B331" s="77"/>
      <c r="C331" s="2">
        <v>4700</v>
      </c>
      <c r="D331" s="169" t="s">
        <v>418</v>
      </c>
      <c r="E331" s="52">
        <v>263277.5</v>
      </c>
      <c r="F331" s="126"/>
      <c r="G331" s="52">
        <v>251161</v>
      </c>
      <c r="H331" s="233"/>
      <c r="I331" s="241"/>
    </row>
    <row r="332" spans="1:9" ht="20.25" customHeight="1">
      <c r="A332" s="80"/>
      <c r="B332" s="24">
        <v>80148</v>
      </c>
      <c r="C332" s="24"/>
      <c r="D332" s="174" t="s">
        <v>304</v>
      </c>
      <c r="E332" s="90">
        <f>SUM(E333:E352)</f>
        <v>4070996</v>
      </c>
      <c r="F332" s="126"/>
      <c r="G332" s="90">
        <f>SUM(G333:G352)</f>
        <v>4190860</v>
      </c>
      <c r="H332" s="233"/>
      <c r="I332" s="242">
        <f>G332/E332*100</f>
        <v>102.9443408934816</v>
      </c>
    </row>
    <row r="333" spans="1:9" ht="24" customHeight="1">
      <c r="A333" s="80"/>
      <c r="B333" s="9"/>
      <c r="C333" s="2">
        <v>3020</v>
      </c>
      <c r="D333" s="169" t="s">
        <v>284</v>
      </c>
      <c r="E333" s="87">
        <v>16369</v>
      </c>
      <c r="F333" s="126"/>
      <c r="G333" s="87">
        <v>20180</v>
      </c>
      <c r="H333" s="233"/>
      <c r="I333" s="289"/>
    </row>
    <row r="334" spans="1:9" ht="16.5" customHeight="1">
      <c r="A334" s="80"/>
      <c r="B334" s="9"/>
      <c r="C334" s="2">
        <v>4010</v>
      </c>
      <c r="D334" s="169" t="s">
        <v>492</v>
      </c>
      <c r="E334" s="52">
        <v>1207575</v>
      </c>
      <c r="F334" s="126"/>
      <c r="G334" s="52">
        <v>1383988</v>
      </c>
      <c r="H334" s="233"/>
      <c r="I334" s="242"/>
    </row>
    <row r="335" spans="1:9" ht="16.5" customHeight="1">
      <c r="A335" s="80"/>
      <c r="B335" s="9"/>
      <c r="C335" s="2">
        <v>4040</v>
      </c>
      <c r="D335" s="169" t="s">
        <v>493</v>
      </c>
      <c r="E335" s="52">
        <v>90393</v>
      </c>
      <c r="F335" s="126"/>
      <c r="G335" s="52">
        <v>102131</v>
      </c>
      <c r="H335" s="233"/>
      <c r="I335" s="242"/>
    </row>
    <row r="336" spans="1:9" ht="16.5" customHeight="1">
      <c r="A336" s="80"/>
      <c r="B336" s="9"/>
      <c r="C336" s="2">
        <v>4110</v>
      </c>
      <c r="D336" s="169" t="s">
        <v>519</v>
      </c>
      <c r="E336" s="52">
        <v>212906</v>
      </c>
      <c r="F336" s="126"/>
      <c r="G336" s="52">
        <v>246994</v>
      </c>
      <c r="H336" s="233"/>
      <c r="I336" s="242"/>
    </row>
    <row r="337" spans="1:9" ht="16.5" customHeight="1">
      <c r="A337" s="80"/>
      <c r="B337" s="9"/>
      <c r="C337" s="2">
        <v>4120</v>
      </c>
      <c r="D337" s="169" t="s">
        <v>520</v>
      </c>
      <c r="E337" s="52">
        <v>24227</v>
      </c>
      <c r="F337" s="126"/>
      <c r="G337" s="52">
        <v>32808</v>
      </c>
      <c r="H337" s="233"/>
      <c r="I337" s="242"/>
    </row>
    <row r="338" spans="1:9" ht="16.5" customHeight="1">
      <c r="A338" s="80"/>
      <c r="B338" s="9"/>
      <c r="C338" s="2">
        <v>4170</v>
      </c>
      <c r="D338" s="169" t="s">
        <v>526</v>
      </c>
      <c r="E338" s="52">
        <v>3015</v>
      </c>
      <c r="F338" s="126"/>
      <c r="G338" s="52">
        <v>300</v>
      </c>
      <c r="H338" s="233"/>
      <c r="I338" s="242"/>
    </row>
    <row r="339" spans="1:9" ht="16.5" customHeight="1">
      <c r="A339" s="80"/>
      <c r="B339" s="9"/>
      <c r="C339" s="2">
        <v>4210</v>
      </c>
      <c r="D339" s="169" t="s">
        <v>449</v>
      </c>
      <c r="E339" s="52">
        <v>85839</v>
      </c>
      <c r="F339" s="126"/>
      <c r="G339" s="52">
        <v>65800</v>
      </c>
      <c r="H339" s="233"/>
      <c r="I339" s="242"/>
    </row>
    <row r="340" spans="1:9" ht="16.5" customHeight="1">
      <c r="A340" s="80"/>
      <c r="B340" s="9"/>
      <c r="C340" s="2">
        <v>4220</v>
      </c>
      <c r="D340" s="169" t="s">
        <v>322</v>
      </c>
      <c r="E340" s="52">
        <v>1899974</v>
      </c>
      <c r="F340" s="126"/>
      <c r="G340" s="52">
        <f>1792150+80000</f>
        <v>1872150</v>
      </c>
      <c r="H340" s="233"/>
      <c r="I340" s="242"/>
    </row>
    <row r="341" spans="1:9" ht="16.5" customHeight="1">
      <c r="A341" s="80"/>
      <c r="B341" s="9"/>
      <c r="C341" s="2">
        <v>4260</v>
      </c>
      <c r="D341" s="169" t="s">
        <v>533</v>
      </c>
      <c r="E341" s="52">
        <v>277750</v>
      </c>
      <c r="F341" s="126"/>
      <c r="G341" s="52">
        <v>249950</v>
      </c>
      <c r="H341" s="233"/>
      <c r="I341" s="242"/>
    </row>
    <row r="342" spans="1:9" ht="16.5" customHeight="1">
      <c r="A342" s="80"/>
      <c r="B342" s="9"/>
      <c r="C342" s="2">
        <v>4270</v>
      </c>
      <c r="D342" s="169" t="s">
        <v>450</v>
      </c>
      <c r="E342" s="52">
        <v>62472</v>
      </c>
      <c r="F342" s="126"/>
      <c r="G342" s="52">
        <v>31700</v>
      </c>
      <c r="H342" s="233"/>
      <c r="I342" s="242"/>
    </row>
    <row r="343" spans="1:9" ht="16.5" customHeight="1">
      <c r="A343" s="80"/>
      <c r="B343" s="9"/>
      <c r="C343" s="2">
        <v>4280</v>
      </c>
      <c r="D343" s="169" t="s">
        <v>286</v>
      </c>
      <c r="E343" s="52">
        <v>2105</v>
      </c>
      <c r="F343" s="126"/>
      <c r="G343" s="52">
        <v>3476</v>
      </c>
      <c r="H343" s="233"/>
      <c r="I343" s="242"/>
    </row>
    <row r="344" spans="1:9" ht="16.5" customHeight="1">
      <c r="A344" s="80"/>
      <c r="B344" s="9"/>
      <c r="C344" s="2">
        <v>4300</v>
      </c>
      <c r="D344" s="169" t="s">
        <v>446</v>
      </c>
      <c r="E344" s="52">
        <v>110872</v>
      </c>
      <c r="F344" s="126"/>
      <c r="G344" s="52">
        <v>112550</v>
      </c>
      <c r="H344" s="233"/>
      <c r="I344" s="242"/>
    </row>
    <row r="345" spans="1:9" ht="23.25" customHeight="1">
      <c r="A345" s="80"/>
      <c r="B345" s="9"/>
      <c r="C345" s="2">
        <v>4390</v>
      </c>
      <c r="D345" s="169" t="s">
        <v>354</v>
      </c>
      <c r="E345" s="52">
        <v>150</v>
      </c>
      <c r="F345" s="126"/>
      <c r="G345" s="52">
        <v>300</v>
      </c>
      <c r="H345" s="233"/>
      <c r="I345" s="242"/>
    </row>
    <row r="346" spans="1:9" ht="16.5" customHeight="1">
      <c r="A346" s="80"/>
      <c r="B346" s="9"/>
      <c r="C346" s="2">
        <v>4410</v>
      </c>
      <c r="D346" s="169" t="s">
        <v>523</v>
      </c>
      <c r="E346" s="52">
        <v>76</v>
      </c>
      <c r="F346" s="126"/>
      <c r="G346" s="52">
        <v>700</v>
      </c>
      <c r="H346" s="233"/>
      <c r="I346" s="242"/>
    </row>
    <row r="347" spans="1:9" ht="16.5" customHeight="1">
      <c r="A347" s="80"/>
      <c r="B347" s="9"/>
      <c r="C347" s="2">
        <v>4430</v>
      </c>
      <c r="D347" s="169" t="s">
        <v>429</v>
      </c>
      <c r="E347" s="52">
        <v>600</v>
      </c>
      <c r="F347" s="126"/>
      <c r="G347" s="52">
        <v>600</v>
      </c>
      <c r="H347" s="233"/>
      <c r="I347" s="242"/>
    </row>
    <row r="348" spans="1:9" ht="24" customHeight="1">
      <c r="A348" s="80"/>
      <c r="B348" s="9"/>
      <c r="C348" s="2">
        <v>4440</v>
      </c>
      <c r="D348" s="169" t="s">
        <v>521</v>
      </c>
      <c r="E348" s="52">
        <v>48891</v>
      </c>
      <c r="F348" s="126"/>
      <c r="G348" s="52">
        <v>54023</v>
      </c>
      <c r="H348" s="233"/>
      <c r="I348" s="242"/>
    </row>
    <row r="349" spans="1:9" ht="24" customHeight="1">
      <c r="A349" s="80"/>
      <c r="B349" s="9"/>
      <c r="C349" s="2">
        <v>4510</v>
      </c>
      <c r="D349" s="169" t="s">
        <v>484</v>
      </c>
      <c r="E349" s="72">
        <v>85</v>
      </c>
      <c r="F349" s="126"/>
      <c r="G349" s="72">
        <v>100</v>
      </c>
      <c r="H349" s="233"/>
      <c r="I349" s="242"/>
    </row>
    <row r="350" spans="1:9" ht="24" customHeight="1">
      <c r="A350" s="80"/>
      <c r="B350" s="9"/>
      <c r="C350" s="2">
        <v>4520</v>
      </c>
      <c r="D350" s="169" t="s">
        <v>417</v>
      </c>
      <c r="E350" s="72">
        <v>7847</v>
      </c>
      <c r="F350" s="126"/>
      <c r="G350" s="72">
        <v>8580</v>
      </c>
      <c r="H350" s="233"/>
      <c r="I350" s="242"/>
    </row>
    <row r="351" spans="1:9" ht="24" customHeight="1">
      <c r="A351" s="80"/>
      <c r="B351" s="9"/>
      <c r="C351" s="2">
        <v>4700</v>
      </c>
      <c r="D351" s="169" t="s">
        <v>418</v>
      </c>
      <c r="E351" s="72">
        <v>3050</v>
      </c>
      <c r="F351" s="126"/>
      <c r="G351" s="72">
        <v>4530</v>
      </c>
      <c r="H351" s="233"/>
      <c r="I351" s="242"/>
    </row>
    <row r="352" spans="1:9" ht="24" customHeight="1">
      <c r="A352" s="80"/>
      <c r="B352" s="9"/>
      <c r="C352" s="2">
        <v>6060</v>
      </c>
      <c r="D352" s="169" t="s">
        <v>538</v>
      </c>
      <c r="E352" s="176">
        <v>16800</v>
      </c>
      <c r="F352" s="126"/>
      <c r="G352" s="176">
        <v>0</v>
      </c>
      <c r="H352" s="233"/>
      <c r="I352" s="241"/>
    </row>
    <row r="353" spans="1:9" ht="74.25" customHeight="1">
      <c r="A353" s="80"/>
      <c r="B353" s="24">
        <v>80149</v>
      </c>
      <c r="C353" s="24"/>
      <c r="D353" s="174" t="s">
        <v>176</v>
      </c>
      <c r="E353" s="90">
        <f>SUM(E354:E376)</f>
        <v>3074872</v>
      </c>
      <c r="F353" s="126"/>
      <c r="G353" s="90">
        <f>SUM(G354:G376)</f>
        <v>2667902</v>
      </c>
      <c r="H353" s="233"/>
      <c r="I353" s="242">
        <f>G353/E353*100</f>
        <v>86.76465231723466</v>
      </c>
    </row>
    <row r="354" spans="1:9" ht="27" customHeight="1">
      <c r="A354" s="80"/>
      <c r="B354" s="29"/>
      <c r="C354" s="2">
        <v>2540</v>
      </c>
      <c r="D354" s="169" t="s">
        <v>288</v>
      </c>
      <c r="E354" s="87">
        <v>536200</v>
      </c>
      <c r="F354" s="126"/>
      <c r="G354" s="87">
        <v>21500</v>
      </c>
      <c r="H354" s="233"/>
      <c r="I354" s="289"/>
    </row>
    <row r="355" spans="1:9" ht="24" customHeight="1">
      <c r="A355" s="80"/>
      <c r="B355" s="9"/>
      <c r="C355" s="2">
        <v>3020</v>
      </c>
      <c r="D355" s="169" t="s">
        <v>284</v>
      </c>
      <c r="E355" s="87">
        <v>3900</v>
      </c>
      <c r="F355" s="126"/>
      <c r="G355" s="87">
        <v>3900</v>
      </c>
      <c r="H355" s="233"/>
      <c r="I355" s="242"/>
    </row>
    <row r="356" spans="1:9" ht="16.5" customHeight="1">
      <c r="A356" s="80"/>
      <c r="B356" s="9"/>
      <c r="C356" s="2">
        <v>4010</v>
      </c>
      <c r="D356" s="169" t="s">
        <v>492</v>
      </c>
      <c r="E356" s="52">
        <v>1932151.78</v>
      </c>
      <c r="F356" s="126"/>
      <c r="G356" s="52">
        <v>1979353</v>
      </c>
      <c r="H356" s="233"/>
      <c r="I356" s="242"/>
    </row>
    <row r="357" spans="1:9" ht="16.5" customHeight="1">
      <c r="A357" s="80"/>
      <c r="B357" s="9"/>
      <c r="C357" s="2">
        <v>4040</v>
      </c>
      <c r="D357" s="169" t="s">
        <v>493</v>
      </c>
      <c r="E357" s="52">
        <v>0</v>
      </c>
      <c r="F357" s="126"/>
      <c r="G357" s="52">
        <v>102000</v>
      </c>
      <c r="H357" s="233"/>
      <c r="I357" s="242"/>
    </row>
    <row r="358" spans="1:9" ht="16.5" customHeight="1">
      <c r="A358" s="80"/>
      <c r="B358" s="9"/>
      <c r="C358" s="2">
        <v>4110</v>
      </c>
      <c r="D358" s="169" t="s">
        <v>519</v>
      </c>
      <c r="E358" s="52">
        <v>337890.8</v>
      </c>
      <c r="F358" s="126"/>
      <c r="G358" s="52">
        <v>307696</v>
      </c>
      <c r="H358" s="233"/>
      <c r="I358" s="242"/>
    </row>
    <row r="359" spans="1:9" ht="16.5" customHeight="1">
      <c r="A359" s="80"/>
      <c r="B359" s="9"/>
      <c r="C359" s="2">
        <v>4120</v>
      </c>
      <c r="D359" s="169" t="s">
        <v>520</v>
      </c>
      <c r="E359" s="52">
        <v>41050.66</v>
      </c>
      <c r="F359" s="126"/>
      <c r="G359" s="52">
        <v>47543</v>
      </c>
      <c r="H359" s="233"/>
      <c r="I359" s="242"/>
    </row>
    <row r="360" spans="1:9" ht="16.5" customHeight="1">
      <c r="A360" s="80"/>
      <c r="B360" s="9"/>
      <c r="C360" s="2">
        <v>4170</v>
      </c>
      <c r="D360" s="169" t="s">
        <v>526</v>
      </c>
      <c r="E360" s="52">
        <v>17700</v>
      </c>
      <c r="F360" s="126"/>
      <c r="G360" s="52">
        <v>16000</v>
      </c>
      <c r="H360" s="233"/>
      <c r="I360" s="242"/>
    </row>
    <row r="361" spans="1:9" ht="16.5" customHeight="1">
      <c r="A361" s="80"/>
      <c r="B361" s="9"/>
      <c r="C361" s="2">
        <v>4210</v>
      </c>
      <c r="D361" s="169" t="s">
        <v>449</v>
      </c>
      <c r="E361" s="52">
        <v>22000</v>
      </c>
      <c r="F361" s="126"/>
      <c r="G361" s="52">
        <v>22000</v>
      </c>
      <c r="H361" s="233"/>
      <c r="I361" s="242"/>
    </row>
    <row r="362" spans="1:9" ht="16.5" customHeight="1">
      <c r="A362" s="80"/>
      <c r="B362" s="9"/>
      <c r="C362" s="2">
        <v>4220</v>
      </c>
      <c r="D362" s="169" t="s">
        <v>322</v>
      </c>
      <c r="E362" s="52">
        <v>30600</v>
      </c>
      <c r="F362" s="126"/>
      <c r="G362" s="52"/>
      <c r="H362" s="233"/>
      <c r="I362" s="242"/>
    </row>
    <row r="363" spans="1:9" ht="16.5" customHeight="1">
      <c r="A363" s="80"/>
      <c r="B363" s="9"/>
      <c r="C363" s="2">
        <v>4240</v>
      </c>
      <c r="D363" s="169" t="s">
        <v>405</v>
      </c>
      <c r="E363" s="52">
        <v>11149.76</v>
      </c>
      <c r="F363" s="126"/>
      <c r="G363" s="52">
        <v>9900</v>
      </c>
      <c r="H363" s="233"/>
      <c r="I363" s="242"/>
    </row>
    <row r="364" spans="1:9" ht="17.25" customHeight="1">
      <c r="A364" s="80"/>
      <c r="B364" s="9"/>
      <c r="C364" s="2">
        <v>4260</v>
      </c>
      <c r="D364" s="169" t="s">
        <v>533</v>
      </c>
      <c r="E364" s="52">
        <v>21200</v>
      </c>
      <c r="F364" s="126"/>
      <c r="G364" s="52">
        <v>21200</v>
      </c>
      <c r="H364" s="233"/>
      <c r="I364" s="242"/>
    </row>
    <row r="365" spans="1:9" ht="17.25" customHeight="1">
      <c r="A365" s="80"/>
      <c r="B365" s="9"/>
      <c r="C365" s="2">
        <v>4270</v>
      </c>
      <c r="D365" s="169" t="s">
        <v>450</v>
      </c>
      <c r="E365" s="52">
        <v>4500</v>
      </c>
      <c r="F365" s="126"/>
      <c r="G365" s="52">
        <v>4500</v>
      </c>
      <c r="H365" s="233"/>
      <c r="I365" s="242"/>
    </row>
    <row r="366" spans="1:9" ht="17.25" customHeight="1">
      <c r="A366" s="80"/>
      <c r="B366" s="9"/>
      <c r="C366" s="2">
        <v>4280</v>
      </c>
      <c r="D366" s="169" t="s">
        <v>286</v>
      </c>
      <c r="E366" s="52">
        <v>1390</v>
      </c>
      <c r="F366" s="126"/>
      <c r="G366" s="52">
        <v>1390</v>
      </c>
      <c r="H366" s="233"/>
      <c r="I366" s="242"/>
    </row>
    <row r="367" spans="1:9" ht="17.25" customHeight="1">
      <c r="A367" s="80"/>
      <c r="B367" s="9"/>
      <c r="C367" s="2">
        <v>4300</v>
      </c>
      <c r="D367" s="169" t="s">
        <v>446</v>
      </c>
      <c r="E367" s="52">
        <v>25120</v>
      </c>
      <c r="F367" s="126"/>
      <c r="G367" s="52">
        <v>25120</v>
      </c>
      <c r="H367" s="233"/>
      <c r="I367" s="242"/>
    </row>
    <row r="368" spans="1:9" ht="23.25" customHeight="1">
      <c r="A368" s="80"/>
      <c r="B368" s="9"/>
      <c r="C368" s="2">
        <v>4360</v>
      </c>
      <c r="D368" s="169" t="s">
        <v>216</v>
      </c>
      <c r="E368" s="52">
        <v>840</v>
      </c>
      <c r="F368" s="126"/>
      <c r="G368" s="52">
        <v>840</v>
      </c>
      <c r="H368" s="233"/>
      <c r="I368" s="242"/>
    </row>
    <row r="369" spans="1:9" ht="26.25" customHeight="1">
      <c r="A369" s="80"/>
      <c r="B369" s="9"/>
      <c r="C369" s="2">
        <v>4390</v>
      </c>
      <c r="D369" s="169" t="s">
        <v>354</v>
      </c>
      <c r="E369" s="52">
        <v>0</v>
      </c>
      <c r="F369" s="126"/>
      <c r="G369" s="52">
        <v>600</v>
      </c>
      <c r="H369" s="233"/>
      <c r="I369" s="242"/>
    </row>
    <row r="370" spans="1:9" ht="23.25" customHeight="1">
      <c r="A370" s="80"/>
      <c r="B370" s="9"/>
      <c r="C370" s="2">
        <v>4400</v>
      </c>
      <c r="D370" s="169" t="s">
        <v>291</v>
      </c>
      <c r="E370" s="52">
        <v>10800</v>
      </c>
      <c r="F370" s="126"/>
      <c r="G370" s="52">
        <v>10800</v>
      </c>
      <c r="H370" s="233"/>
      <c r="I370" s="242"/>
    </row>
    <row r="371" spans="1:9" ht="17.25" customHeight="1">
      <c r="A371" s="80"/>
      <c r="B371" s="9"/>
      <c r="C371" s="2">
        <v>4410</v>
      </c>
      <c r="D371" s="169" t="s">
        <v>523</v>
      </c>
      <c r="E371" s="52">
        <v>1200</v>
      </c>
      <c r="F371" s="126"/>
      <c r="G371" s="52">
        <v>1200</v>
      </c>
      <c r="H371" s="233"/>
      <c r="I371" s="242"/>
    </row>
    <row r="372" spans="1:9" ht="17.25" customHeight="1">
      <c r="A372" s="80"/>
      <c r="B372" s="9"/>
      <c r="C372" s="2">
        <v>4430</v>
      </c>
      <c r="D372" s="169" t="s">
        <v>429</v>
      </c>
      <c r="E372" s="52">
        <v>800</v>
      </c>
      <c r="F372" s="126"/>
      <c r="G372" s="52">
        <v>800</v>
      </c>
      <c r="H372" s="233"/>
      <c r="I372" s="242"/>
    </row>
    <row r="373" spans="1:9" ht="23.25" customHeight="1">
      <c r="A373" s="80"/>
      <c r="B373" s="9"/>
      <c r="C373" s="2">
        <v>4440</v>
      </c>
      <c r="D373" s="169" t="s">
        <v>521</v>
      </c>
      <c r="E373" s="52">
        <v>74314</v>
      </c>
      <c r="F373" s="126"/>
      <c r="G373" s="52">
        <v>89615</v>
      </c>
      <c r="H373" s="233"/>
      <c r="I373" s="242"/>
    </row>
    <row r="374" spans="1:9" ht="17.25" customHeight="1">
      <c r="A374" s="80"/>
      <c r="B374" s="9"/>
      <c r="C374" s="2">
        <v>4510</v>
      </c>
      <c r="D374" s="169" t="s">
        <v>325</v>
      </c>
      <c r="E374" s="72">
        <v>45</v>
      </c>
      <c r="F374" s="126"/>
      <c r="G374" s="72">
        <v>45</v>
      </c>
      <c r="H374" s="233"/>
      <c r="I374" s="242"/>
    </row>
    <row r="375" spans="1:9" ht="23.25" customHeight="1">
      <c r="A375" s="80"/>
      <c r="B375" s="9"/>
      <c r="C375" s="2">
        <v>4520</v>
      </c>
      <c r="D375" s="169" t="s">
        <v>417</v>
      </c>
      <c r="E375" s="72">
        <v>600</v>
      </c>
      <c r="F375" s="126"/>
      <c r="G375" s="72">
        <v>600</v>
      </c>
      <c r="H375" s="233"/>
      <c r="I375" s="242"/>
    </row>
    <row r="376" spans="1:9" ht="23.25" customHeight="1">
      <c r="A376" s="80"/>
      <c r="B376" s="9"/>
      <c r="C376" s="2">
        <v>4700</v>
      </c>
      <c r="D376" s="169" t="s">
        <v>418</v>
      </c>
      <c r="E376" s="72">
        <v>1420</v>
      </c>
      <c r="F376" s="126"/>
      <c r="G376" s="72">
        <v>1300</v>
      </c>
      <c r="H376" s="233"/>
      <c r="I376" s="241"/>
    </row>
    <row r="377" spans="1:9" ht="85.5" customHeight="1">
      <c r="A377" s="80"/>
      <c r="B377" s="24">
        <v>80150</v>
      </c>
      <c r="C377" s="24"/>
      <c r="D377" s="174" t="s">
        <v>415</v>
      </c>
      <c r="E377" s="90">
        <f>SUM(E378:E397)</f>
        <v>5180054.03</v>
      </c>
      <c r="F377" s="90">
        <f>SUM(F378:F397)</f>
        <v>14857.390000000001</v>
      </c>
      <c r="G377" s="90">
        <f>SUM(G378:G397)</f>
        <v>5690623</v>
      </c>
      <c r="H377" s="90">
        <f>SUM(H378:H397)</f>
        <v>0</v>
      </c>
      <c r="I377" s="242">
        <f>G377/E377*100</f>
        <v>109.85644101476679</v>
      </c>
    </row>
    <row r="378" spans="1:9" ht="27.75" customHeight="1">
      <c r="A378" s="80"/>
      <c r="B378" s="29"/>
      <c r="C378" s="2">
        <v>2540</v>
      </c>
      <c r="D378" s="169" t="s">
        <v>288</v>
      </c>
      <c r="E378" s="87">
        <v>0</v>
      </c>
      <c r="F378" s="126"/>
      <c r="G378" s="87">
        <v>15050</v>
      </c>
      <c r="H378" s="233"/>
      <c r="I378" s="289"/>
    </row>
    <row r="379" spans="1:9" ht="24" customHeight="1">
      <c r="A379" s="80"/>
      <c r="B379" s="9"/>
      <c r="C379" s="2">
        <v>3020</v>
      </c>
      <c r="D379" s="169" t="s">
        <v>284</v>
      </c>
      <c r="E379" s="87">
        <v>700</v>
      </c>
      <c r="F379" s="126"/>
      <c r="G379" s="87">
        <v>4620</v>
      </c>
      <c r="H379" s="233"/>
      <c r="I379" s="242"/>
    </row>
    <row r="380" spans="1:9" ht="13.5" customHeight="1">
      <c r="A380" s="80"/>
      <c r="B380" s="9"/>
      <c r="C380" s="2">
        <v>4010</v>
      </c>
      <c r="D380" s="169" t="s">
        <v>492</v>
      </c>
      <c r="E380" s="52">
        <v>4167095.64</v>
      </c>
      <c r="F380" s="126"/>
      <c r="G380" s="52">
        <v>4291691</v>
      </c>
      <c r="H380" s="233"/>
      <c r="I380" s="242"/>
    </row>
    <row r="381" spans="1:9" ht="13.5" customHeight="1">
      <c r="A381" s="80"/>
      <c r="B381" s="9"/>
      <c r="C381" s="2">
        <v>4040</v>
      </c>
      <c r="D381" s="169" t="s">
        <v>493</v>
      </c>
      <c r="E381" s="52">
        <v>0</v>
      </c>
      <c r="F381" s="126"/>
      <c r="G381" s="52">
        <v>305649</v>
      </c>
      <c r="H381" s="233"/>
      <c r="I381" s="242"/>
    </row>
    <row r="382" spans="1:9" ht="17.25" customHeight="1">
      <c r="A382" s="80"/>
      <c r="B382" s="9"/>
      <c r="C382" s="2">
        <v>4110</v>
      </c>
      <c r="D382" s="169" t="s">
        <v>519</v>
      </c>
      <c r="E382" s="52">
        <v>701702</v>
      </c>
      <c r="F382" s="126"/>
      <c r="G382" s="52">
        <v>782500</v>
      </c>
      <c r="H382" s="233"/>
      <c r="I382" s="242"/>
    </row>
    <row r="383" spans="1:9" ht="17.25" customHeight="1">
      <c r="A383" s="80"/>
      <c r="B383" s="9"/>
      <c r="C383" s="2">
        <v>4120</v>
      </c>
      <c r="D383" s="169" t="s">
        <v>520</v>
      </c>
      <c r="E383" s="52">
        <v>102016</v>
      </c>
      <c r="F383" s="126"/>
      <c r="G383" s="52">
        <v>113362</v>
      </c>
      <c r="H383" s="233"/>
      <c r="I383" s="242"/>
    </row>
    <row r="384" spans="1:9" ht="17.25" customHeight="1">
      <c r="A384" s="80"/>
      <c r="B384" s="9"/>
      <c r="C384" s="2">
        <v>4170</v>
      </c>
      <c r="D384" s="169" t="s">
        <v>526</v>
      </c>
      <c r="E384" s="52">
        <v>310</v>
      </c>
      <c r="F384" s="126"/>
      <c r="G384" s="52">
        <v>500</v>
      </c>
      <c r="H384" s="233"/>
      <c r="I384" s="242"/>
    </row>
    <row r="385" spans="1:9" ht="17.25" customHeight="1">
      <c r="A385" s="80"/>
      <c r="B385" s="9"/>
      <c r="C385" s="2">
        <v>4210</v>
      </c>
      <c r="D385" s="169" t="s">
        <v>449</v>
      </c>
      <c r="E385" s="52">
        <v>23476</v>
      </c>
      <c r="F385" s="126"/>
      <c r="G385" s="52">
        <v>18884</v>
      </c>
      <c r="H385" s="233"/>
      <c r="I385" s="242"/>
    </row>
    <row r="386" spans="1:9" ht="15" customHeight="1">
      <c r="A386" s="80"/>
      <c r="B386" s="9"/>
      <c r="C386" s="2">
        <v>4240</v>
      </c>
      <c r="D386" s="169" t="s">
        <v>405</v>
      </c>
      <c r="E386" s="52">
        <v>82978.37</v>
      </c>
      <c r="F386" s="52">
        <v>14710.37</v>
      </c>
      <c r="G386" s="52">
        <v>5570</v>
      </c>
      <c r="H386" s="26"/>
      <c r="I386" s="242"/>
    </row>
    <row r="387" spans="1:9" ht="13.5" customHeight="1">
      <c r="A387" s="80"/>
      <c r="B387" s="9"/>
      <c r="C387" s="2">
        <v>4260</v>
      </c>
      <c r="D387" s="169" t="s">
        <v>533</v>
      </c>
      <c r="E387" s="52">
        <v>1800</v>
      </c>
      <c r="F387" s="126"/>
      <c r="G387" s="52">
        <v>8160</v>
      </c>
      <c r="H387" s="233"/>
      <c r="I387" s="242"/>
    </row>
    <row r="388" spans="1:9" ht="17.25" customHeight="1">
      <c r="A388" s="80"/>
      <c r="B388" s="9"/>
      <c r="C388" s="2">
        <v>4270</v>
      </c>
      <c r="D388" s="169" t="s">
        <v>450</v>
      </c>
      <c r="E388" s="52">
        <v>1750</v>
      </c>
      <c r="F388" s="126"/>
      <c r="G388" s="52">
        <v>1990</v>
      </c>
      <c r="H388" s="233"/>
      <c r="I388" s="242"/>
    </row>
    <row r="389" spans="1:9" ht="17.25" customHeight="1">
      <c r="A389" s="80"/>
      <c r="B389" s="9"/>
      <c r="C389" s="2">
        <v>4280</v>
      </c>
      <c r="D389" s="169" t="s">
        <v>286</v>
      </c>
      <c r="E389" s="52">
        <v>560</v>
      </c>
      <c r="F389" s="126"/>
      <c r="G389" s="52">
        <v>1697</v>
      </c>
      <c r="H389" s="233"/>
      <c r="I389" s="242"/>
    </row>
    <row r="390" spans="1:9" ht="17.25" customHeight="1">
      <c r="A390" s="80"/>
      <c r="B390" s="9"/>
      <c r="C390" s="2">
        <v>4300</v>
      </c>
      <c r="D390" s="169" t="s">
        <v>446</v>
      </c>
      <c r="E390" s="52">
        <v>5947.02</v>
      </c>
      <c r="F390" s="52">
        <v>147.02</v>
      </c>
      <c r="G390" s="52">
        <v>5398</v>
      </c>
      <c r="H390" s="26"/>
      <c r="I390" s="242"/>
    </row>
    <row r="391" spans="1:9" ht="25.5" customHeight="1">
      <c r="A391" s="80"/>
      <c r="B391" s="9"/>
      <c r="C391" s="2">
        <v>4360</v>
      </c>
      <c r="D391" s="169" t="s">
        <v>216</v>
      </c>
      <c r="E391" s="52">
        <v>70</v>
      </c>
      <c r="F391" s="126"/>
      <c r="G391" s="52">
        <v>560</v>
      </c>
      <c r="H391" s="233"/>
      <c r="I391" s="242"/>
    </row>
    <row r="392" spans="1:9" ht="17.25" customHeight="1">
      <c r="A392" s="80"/>
      <c r="B392" s="9"/>
      <c r="C392" s="2">
        <v>4410</v>
      </c>
      <c r="D392" s="169" t="s">
        <v>523</v>
      </c>
      <c r="E392" s="52">
        <v>0</v>
      </c>
      <c r="F392" s="126"/>
      <c r="G392" s="52">
        <v>300</v>
      </c>
      <c r="H392" s="233"/>
      <c r="I392" s="242"/>
    </row>
    <row r="393" spans="1:9" ht="17.25" customHeight="1">
      <c r="A393" s="80"/>
      <c r="B393" s="9"/>
      <c r="C393" s="2">
        <v>4430</v>
      </c>
      <c r="D393" s="169" t="s">
        <v>429</v>
      </c>
      <c r="E393" s="52">
        <v>2100</v>
      </c>
      <c r="F393" s="126"/>
      <c r="G393" s="52">
        <v>70</v>
      </c>
      <c r="H393" s="233"/>
      <c r="I393" s="242"/>
    </row>
    <row r="394" spans="1:9" ht="21.75" customHeight="1">
      <c r="A394" s="80"/>
      <c r="B394" s="9"/>
      <c r="C394" s="2">
        <v>4440</v>
      </c>
      <c r="D394" s="169" t="s">
        <v>521</v>
      </c>
      <c r="E394" s="52">
        <v>84129</v>
      </c>
      <c r="F394" s="126"/>
      <c r="G394" s="177">
        <v>133290</v>
      </c>
      <c r="H394" s="233"/>
      <c r="I394" s="242"/>
    </row>
    <row r="395" spans="1:9" ht="21.75" customHeight="1">
      <c r="A395" s="80"/>
      <c r="B395" s="9"/>
      <c r="C395" s="2">
        <v>4480</v>
      </c>
      <c r="D395" s="169" t="s">
        <v>367</v>
      </c>
      <c r="E395" s="177"/>
      <c r="F395" s="126"/>
      <c r="G395" s="177">
        <v>10</v>
      </c>
      <c r="H395" s="233"/>
      <c r="I395" s="242"/>
    </row>
    <row r="396" spans="1:9" ht="23.25" customHeight="1">
      <c r="A396" s="80"/>
      <c r="B396" s="9"/>
      <c r="C396" s="2">
        <v>4520</v>
      </c>
      <c r="D396" s="169" t="s">
        <v>417</v>
      </c>
      <c r="E396" s="177">
        <v>20</v>
      </c>
      <c r="F396" s="126"/>
      <c r="G396" s="177">
        <v>22</v>
      </c>
      <c r="H396" s="233"/>
      <c r="I396" s="242"/>
    </row>
    <row r="397" spans="1:9" ht="23.25" customHeight="1">
      <c r="A397" s="80"/>
      <c r="B397" s="9"/>
      <c r="C397" s="2">
        <v>4700</v>
      </c>
      <c r="D397" s="169" t="s">
        <v>418</v>
      </c>
      <c r="E397" s="177">
        <v>5400</v>
      </c>
      <c r="F397" s="126"/>
      <c r="G397" s="177">
        <v>1300</v>
      </c>
      <c r="H397" s="233"/>
      <c r="I397" s="241"/>
    </row>
    <row r="398" spans="1:9" ht="20.25" customHeight="1">
      <c r="A398" s="97"/>
      <c r="B398" s="93">
        <v>80195</v>
      </c>
      <c r="C398" s="24"/>
      <c r="D398" s="174" t="s">
        <v>343</v>
      </c>
      <c r="E398" s="129">
        <f>SUM(E399:E423)</f>
        <v>1075221.07</v>
      </c>
      <c r="F398" s="126"/>
      <c r="G398" s="129">
        <f>SUM(G399:G423)</f>
        <v>1168167.94</v>
      </c>
      <c r="H398" s="233"/>
      <c r="I398" s="242">
        <f>G398/E398*100</f>
        <v>108.64444276561656</v>
      </c>
    </row>
    <row r="399" spans="1:9" ht="24" customHeight="1">
      <c r="A399" s="79"/>
      <c r="B399" s="61"/>
      <c r="C399" s="2">
        <v>3040</v>
      </c>
      <c r="D399" s="169" t="s">
        <v>108</v>
      </c>
      <c r="E399" s="208">
        <v>16500</v>
      </c>
      <c r="F399" s="126"/>
      <c r="G399" s="208"/>
      <c r="H399" s="233"/>
      <c r="I399" s="289"/>
    </row>
    <row r="400" spans="1:9" ht="15.75" customHeight="1">
      <c r="A400" s="99"/>
      <c r="B400" s="92"/>
      <c r="C400" s="2">
        <v>4110</v>
      </c>
      <c r="D400" s="169" t="s">
        <v>519</v>
      </c>
      <c r="E400" s="208">
        <v>2844.4</v>
      </c>
      <c r="F400" s="126"/>
      <c r="G400" s="208">
        <v>100</v>
      </c>
      <c r="H400" s="233"/>
      <c r="I400" s="242"/>
    </row>
    <row r="401" spans="1:9" ht="16.5" customHeight="1">
      <c r="A401" s="99"/>
      <c r="B401" s="92"/>
      <c r="C401" s="2">
        <v>4111</v>
      </c>
      <c r="D401" s="169" t="s">
        <v>519</v>
      </c>
      <c r="E401" s="208">
        <v>2000</v>
      </c>
      <c r="F401" s="126"/>
      <c r="G401" s="208">
        <v>2199.8</v>
      </c>
      <c r="H401" s="233"/>
      <c r="I401" s="242"/>
    </row>
    <row r="402" spans="1:9" ht="16.5" customHeight="1">
      <c r="A402" s="99"/>
      <c r="B402" s="92"/>
      <c r="C402" s="2">
        <v>4120</v>
      </c>
      <c r="D402" s="169" t="s">
        <v>520</v>
      </c>
      <c r="E402" s="208">
        <v>4</v>
      </c>
      <c r="F402" s="126"/>
      <c r="G402" s="208">
        <v>100</v>
      </c>
      <c r="H402" s="233"/>
      <c r="I402" s="242"/>
    </row>
    <row r="403" spans="1:9" ht="16.5" customHeight="1">
      <c r="A403" s="99"/>
      <c r="B403" s="92"/>
      <c r="C403" s="2">
        <v>4120</v>
      </c>
      <c r="D403" s="169" t="s">
        <v>520</v>
      </c>
      <c r="E403" s="208">
        <v>408.25</v>
      </c>
      <c r="F403" s="126"/>
      <c r="G403" s="208"/>
      <c r="H403" s="233"/>
      <c r="I403" s="242"/>
    </row>
    <row r="404" spans="1:9" ht="16.5" customHeight="1">
      <c r="A404" s="99"/>
      <c r="B404" s="92"/>
      <c r="C404" s="2">
        <v>4121</v>
      </c>
      <c r="D404" s="169" t="s">
        <v>520</v>
      </c>
      <c r="E404" s="208">
        <v>300</v>
      </c>
      <c r="F404" s="126"/>
      <c r="G404" s="208">
        <v>300</v>
      </c>
      <c r="H404" s="233"/>
      <c r="I404" s="242"/>
    </row>
    <row r="405" spans="1:9" ht="15" customHeight="1">
      <c r="A405" s="99"/>
      <c r="B405" s="92"/>
      <c r="C405" s="2">
        <v>4170</v>
      </c>
      <c r="D405" s="169" t="s">
        <v>526</v>
      </c>
      <c r="E405" s="208">
        <v>2870</v>
      </c>
      <c r="F405" s="126"/>
      <c r="G405" s="208">
        <v>1040</v>
      </c>
      <c r="H405" s="233"/>
      <c r="I405" s="242"/>
    </row>
    <row r="406" spans="1:9" ht="16.5" customHeight="1">
      <c r="A406" s="99"/>
      <c r="B406" s="92"/>
      <c r="C406" s="2">
        <v>4171</v>
      </c>
      <c r="D406" s="169" t="s">
        <v>526</v>
      </c>
      <c r="E406" s="208">
        <v>12700</v>
      </c>
      <c r="F406" s="126"/>
      <c r="G406" s="208">
        <v>13000</v>
      </c>
      <c r="H406" s="233"/>
      <c r="I406" s="242"/>
    </row>
    <row r="407" spans="1:9" ht="16.5" customHeight="1">
      <c r="A407" s="99"/>
      <c r="B407" s="92"/>
      <c r="C407" s="2">
        <v>4211</v>
      </c>
      <c r="D407" s="169" t="s">
        <v>449</v>
      </c>
      <c r="E407" s="208">
        <v>21314.33</v>
      </c>
      <c r="F407" s="126"/>
      <c r="G407" s="208">
        <f>1000+3637</f>
        <v>4637</v>
      </c>
      <c r="H407" s="233"/>
      <c r="I407" s="242"/>
    </row>
    <row r="408" spans="1:9" ht="16.5" customHeight="1">
      <c r="A408" s="99"/>
      <c r="B408" s="92"/>
      <c r="C408" s="2">
        <v>4217</v>
      </c>
      <c r="D408" s="169" t="s">
        <v>449</v>
      </c>
      <c r="E408" s="208">
        <v>6506.01</v>
      </c>
      <c r="F408" s="126"/>
      <c r="G408" s="208">
        <v>6241.19</v>
      </c>
      <c r="H408" s="233"/>
      <c r="I408" s="242"/>
    </row>
    <row r="409" spans="1:9" ht="16.5" customHeight="1">
      <c r="A409" s="99"/>
      <c r="B409" s="92"/>
      <c r="C409" s="2">
        <v>4219</v>
      </c>
      <c r="D409" s="169" t="s">
        <v>449</v>
      </c>
      <c r="E409" s="208">
        <v>393.99</v>
      </c>
      <c r="F409" s="126"/>
      <c r="G409" s="208">
        <v>377.95</v>
      </c>
      <c r="H409" s="233"/>
      <c r="I409" s="242"/>
    </row>
    <row r="410" spans="1:9" ht="16.5" customHeight="1">
      <c r="A410" s="99"/>
      <c r="B410" s="92"/>
      <c r="C410" s="2">
        <v>4241</v>
      </c>
      <c r="D410" s="169" t="s">
        <v>405</v>
      </c>
      <c r="E410" s="208"/>
      <c r="F410" s="126"/>
      <c r="G410" s="208">
        <v>15000</v>
      </c>
      <c r="H410" s="233"/>
      <c r="I410" s="242"/>
    </row>
    <row r="411" spans="1:9" ht="16.5" customHeight="1">
      <c r="A411" s="99"/>
      <c r="B411" s="92"/>
      <c r="C411" s="2">
        <v>4300</v>
      </c>
      <c r="D411" s="169" t="s">
        <v>446</v>
      </c>
      <c r="E411" s="124">
        <v>34563</v>
      </c>
      <c r="F411" s="126"/>
      <c r="G411" s="124">
        <f>24600+13963</f>
        <v>38563</v>
      </c>
      <c r="H411" s="233"/>
      <c r="I411" s="242"/>
    </row>
    <row r="412" spans="1:9" ht="14.25" customHeight="1">
      <c r="A412" s="99"/>
      <c r="B412" s="92"/>
      <c r="C412" s="8">
        <v>4301</v>
      </c>
      <c r="D412" s="169" t="s">
        <v>446</v>
      </c>
      <c r="E412" s="124">
        <v>17397.43</v>
      </c>
      <c r="F412" s="126"/>
      <c r="G412" s="124">
        <f>65000+4000</f>
        <v>69000</v>
      </c>
      <c r="H412" s="233"/>
      <c r="I412" s="242"/>
    </row>
    <row r="413" spans="1:9" ht="14.25" customHeight="1">
      <c r="A413" s="99"/>
      <c r="B413" s="92"/>
      <c r="C413" s="8">
        <v>4307</v>
      </c>
      <c r="D413" s="169" t="s">
        <v>446</v>
      </c>
      <c r="E413" s="124">
        <v>19315.95</v>
      </c>
      <c r="F413" s="126"/>
      <c r="G413" s="124">
        <v>16972.2</v>
      </c>
      <c r="H413" s="233"/>
      <c r="I413" s="242"/>
    </row>
    <row r="414" spans="1:9" ht="15" customHeight="1">
      <c r="A414" s="99"/>
      <c r="B414" s="92"/>
      <c r="C414" s="8">
        <v>4309</v>
      </c>
      <c r="D414" s="169" t="s">
        <v>446</v>
      </c>
      <c r="E414" s="124">
        <v>1169.73</v>
      </c>
      <c r="F414" s="126"/>
      <c r="G414" s="124">
        <v>1027.8</v>
      </c>
      <c r="H414" s="233"/>
      <c r="I414" s="242"/>
    </row>
    <row r="415" spans="1:9" ht="15" customHeight="1">
      <c r="A415" s="99"/>
      <c r="B415" s="92"/>
      <c r="C415" s="8">
        <v>4421</v>
      </c>
      <c r="D415" s="169" t="s">
        <v>530</v>
      </c>
      <c r="E415" s="124">
        <v>22372.66</v>
      </c>
      <c r="F415" s="126"/>
      <c r="G415" s="124">
        <f>5500+51300</f>
        <v>56800</v>
      </c>
      <c r="H415" s="233"/>
      <c r="I415" s="242"/>
    </row>
    <row r="416" spans="1:9" ht="16.5" customHeight="1">
      <c r="A416" s="99"/>
      <c r="B416" s="92"/>
      <c r="C416" s="8">
        <v>4427</v>
      </c>
      <c r="D416" s="169" t="s">
        <v>530</v>
      </c>
      <c r="E416" s="124">
        <v>23335.19</v>
      </c>
      <c r="F416" s="126"/>
      <c r="G416" s="124">
        <v>15991.58</v>
      </c>
      <c r="H416" s="233"/>
      <c r="I416" s="242"/>
    </row>
    <row r="417" spans="1:9" ht="15" customHeight="1">
      <c r="A417" s="99"/>
      <c r="B417" s="92"/>
      <c r="C417" s="8">
        <v>4429</v>
      </c>
      <c r="D417" s="169" t="s">
        <v>530</v>
      </c>
      <c r="E417" s="124">
        <v>1413.13</v>
      </c>
      <c r="F417" s="126"/>
      <c r="G417" s="124">
        <v>968.42</v>
      </c>
      <c r="H417" s="233"/>
      <c r="I417" s="242"/>
    </row>
    <row r="418" spans="1:9" ht="15" customHeight="1">
      <c r="A418" s="99"/>
      <c r="B418" s="92"/>
      <c r="C418" s="8">
        <v>4431</v>
      </c>
      <c r="D418" s="169" t="s">
        <v>429</v>
      </c>
      <c r="E418" s="124">
        <v>100</v>
      </c>
      <c r="F418" s="126"/>
      <c r="G418" s="124">
        <v>1450</v>
      </c>
      <c r="H418" s="233"/>
      <c r="I418" s="242"/>
    </row>
    <row r="419" spans="1:9" ht="15" customHeight="1">
      <c r="A419" s="99"/>
      <c r="B419" s="92"/>
      <c r="C419" s="8">
        <v>4437</v>
      </c>
      <c r="D419" s="169" t="s">
        <v>429</v>
      </c>
      <c r="E419" s="124">
        <v>565.74</v>
      </c>
      <c r="F419" s="126"/>
      <c r="G419" s="124">
        <v>565.74</v>
      </c>
      <c r="H419" s="233"/>
      <c r="I419" s="242"/>
    </row>
    <row r="420" spans="1:9" ht="15" customHeight="1">
      <c r="A420" s="99"/>
      <c r="B420" s="92"/>
      <c r="C420" s="8">
        <v>4439</v>
      </c>
      <c r="D420" s="169" t="s">
        <v>429</v>
      </c>
      <c r="E420" s="124">
        <v>34.26</v>
      </c>
      <c r="F420" s="126"/>
      <c r="G420" s="124">
        <v>34.26</v>
      </c>
      <c r="H420" s="233"/>
      <c r="I420" s="242"/>
    </row>
    <row r="421" spans="1:9" ht="24.75" customHeight="1">
      <c r="A421" s="99"/>
      <c r="B421" s="92"/>
      <c r="C421" s="8">
        <v>4440</v>
      </c>
      <c r="D421" s="169" t="s">
        <v>521</v>
      </c>
      <c r="E421" s="124">
        <v>869415</v>
      </c>
      <c r="F421" s="126"/>
      <c r="G421" s="124">
        <v>915000</v>
      </c>
      <c r="H421" s="233"/>
      <c r="I421" s="242"/>
    </row>
    <row r="422" spans="1:9" ht="27" customHeight="1">
      <c r="A422" s="99"/>
      <c r="B422" s="92"/>
      <c r="C422" s="8">
        <v>4707</v>
      </c>
      <c r="D422" s="169" t="s">
        <v>418</v>
      </c>
      <c r="E422" s="124">
        <v>18573.24</v>
      </c>
      <c r="F422" s="126"/>
      <c r="G422" s="124">
        <v>8296.58</v>
      </c>
      <c r="H422" s="233"/>
      <c r="I422" s="242"/>
    </row>
    <row r="423" spans="1:9" ht="24" customHeight="1">
      <c r="A423" s="99"/>
      <c r="B423" s="92"/>
      <c r="C423" s="8">
        <v>4709</v>
      </c>
      <c r="D423" s="169" t="s">
        <v>418</v>
      </c>
      <c r="E423" s="124">
        <v>1124.76</v>
      </c>
      <c r="F423" s="126"/>
      <c r="G423" s="124">
        <v>502.42</v>
      </c>
      <c r="H423" s="233"/>
      <c r="I423" s="241"/>
    </row>
    <row r="424" spans="1:9" ht="24.75" customHeight="1">
      <c r="A424" s="59">
        <v>851</v>
      </c>
      <c r="B424" s="57"/>
      <c r="C424" s="11"/>
      <c r="D424" s="173" t="s">
        <v>306</v>
      </c>
      <c r="E424" s="33">
        <f>E425+E427+E432+E453+E474</f>
        <v>3039828.83</v>
      </c>
      <c r="F424" s="52"/>
      <c r="G424" s="33">
        <f>G425+G427+G432+G453+G474</f>
        <v>1710000</v>
      </c>
      <c r="H424" s="26"/>
      <c r="I424" s="215">
        <f>G424/E424*100</f>
        <v>56.25316738640181</v>
      </c>
    </row>
    <row r="425" spans="1:9" s="53" customFormat="1" ht="20.25" customHeight="1">
      <c r="A425" s="206"/>
      <c r="B425" s="102">
        <v>85149</v>
      </c>
      <c r="C425" s="23"/>
      <c r="D425" s="174" t="s">
        <v>618</v>
      </c>
      <c r="E425" s="90">
        <f>E426</f>
        <v>100000</v>
      </c>
      <c r="F425" s="225"/>
      <c r="G425" s="90">
        <f>G426</f>
        <v>30000</v>
      </c>
      <c r="H425" s="284"/>
      <c r="I425" s="95">
        <f>G425/E425*100</f>
        <v>30</v>
      </c>
    </row>
    <row r="426" spans="1:9" ht="17.25" customHeight="1">
      <c r="A426" s="69"/>
      <c r="B426" s="57"/>
      <c r="C426" s="2">
        <v>4280</v>
      </c>
      <c r="D426" s="169" t="s">
        <v>286</v>
      </c>
      <c r="E426" s="52">
        <v>100000</v>
      </c>
      <c r="F426" s="126"/>
      <c r="G426" s="52">
        <v>30000</v>
      </c>
      <c r="H426" s="233"/>
      <c r="I426" s="95"/>
    </row>
    <row r="427" spans="1:9" ht="20.25" customHeight="1">
      <c r="A427" s="92"/>
      <c r="B427" s="103">
        <v>85153</v>
      </c>
      <c r="C427" s="24"/>
      <c r="D427" s="174" t="s">
        <v>453</v>
      </c>
      <c r="E427" s="90">
        <f>SUM(E428:E431)</f>
        <v>96000</v>
      </c>
      <c r="F427" s="126"/>
      <c r="G427" s="90">
        <f>SUM(G428:G431)</f>
        <v>108500</v>
      </c>
      <c r="H427" s="233"/>
      <c r="I427" s="289">
        <f>G427/E427*100</f>
        <v>113.02083333333333</v>
      </c>
    </row>
    <row r="428" spans="1:9" ht="63.75" customHeight="1">
      <c r="A428" s="70"/>
      <c r="B428" s="62"/>
      <c r="C428" s="8">
        <v>2360</v>
      </c>
      <c r="D428" s="169" t="s">
        <v>226</v>
      </c>
      <c r="E428" s="87">
        <v>90000</v>
      </c>
      <c r="F428" s="126"/>
      <c r="G428" s="87">
        <v>100000</v>
      </c>
      <c r="H428" s="233"/>
      <c r="I428" s="289"/>
    </row>
    <row r="429" spans="1:9" ht="20.25" customHeight="1">
      <c r="A429" s="70"/>
      <c r="B429" s="61"/>
      <c r="C429" s="8">
        <v>4190</v>
      </c>
      <c r="D429" s="169" t="s">
        <v>175</v>
      </c>
      <c r="E429" s="87">
        <v>1000</v>
      </c>
      <c r="F429" s="126"/>
      <c r="G429" s="87">
        <v>1000</v>
      </c>
      <c r="H429" s="233"/>
      <c r="I429" s="242"/>
    </row>
    <row r="430" spans="1:9" ht="16.5" customHeight="1">
      <c r="A430" s="70"/>
      <c r="B430" s="61"/>
      <c r="C430" s="8">
        <v>4210</v>
      </c>
      <c r="D430" s="169" t="s">
        <v>449</v>
      </c>
      <c r="E430" s="52">
        <v>2000</v>
      </c>
      <c r="F430" s="126"/>
      <c r="G430" s="52">
        <v>500</v>
      </c>
      <c r="H430" s="233"/>
      <c r="I430" s="242"/>
    </row>
    <row r="431" spans="1:9" ht="16.5" customHeight="1">
      <c r="A431" s="70"/>
      <c r="B431" s="68"/>
      <c r="C431" s="8">
        <v>4300</v>
      </c>
      <c r="D431" s="169" t="s">
        <v>446</v>
      </c>
      <c r="E431" s="72">
        <v>3000</v>
      </c>
      <c r="F431" s="126"/>
      <c r="G431" s="72">
        <v>7000</v>
      </c>
      <c r="H431" s="233"/>
      <c r="I431" s="241"/>
    </row>
    <row r="432" spans="1:9" ht="20.25" customHeight="1">
      <c r="A432" s="61"/>
      <c r="B432" s="93">
        <v>85154</v>
      </c>
      <c r="C432" s="24"/>
      <c r="D432" s="174" t="s">
        <v>501</v>
      </c>
      <c r="E432" s="38">
        <f>SUM(E433:E452)</f>
        <v>1681128.83</v>
      </c>
      <c r="F432" s="126"/>
      <c r="G432" s="38">
        <f>SUM(G433:G452)</f>
        <v>1571500</v>
      </c>
      <c r="H432" s="233"/>
      <c r="I432" s="242">
        <f>G432/E432*100</f>
        <v>93.47885610884444</v>
      </c>
    </row>
    <row r="433" spans="1:9" ht="64.5" customHeight="1">
      <c r="A433" s="80"/>
      <c r="B433" s="80"/>
      <c r="C433" s="8">
        <v>2360</v>
      </c>
      <c r="D433" s="169" t="s">
        <v>226</v>
      </c>
      <c r="E433" s="87">
        <v>886000</v>
      </c>
      <c r="F433" s="126"/>
      <c r="G433" s="87">
        <v>1031000</v>
      </c>
      <c r="H433" s="233"/>
      <c r="I433" s="289"/>
    </row>
    <row r="434" spans="1:9" ht="24" customHeight="1">
      <c r="A434" s="80"/>
      <c r="B434" s="80"/>
      <c r="C434" s="2">
        <v>3020</v>
      </c>
      <c r="D434" s="169" t="s">
        <v>324</v>
      </c>
      <c r="E434" s="52">
        <v>4000</v>
      </c>
      <c r="F434" s="126"/>
      <c r="G434" s="52">
        <v>4000</v>
      </c>
      <c r="H434" s="233"/>
      <c r="I434" s="242"/>
    </row>
    <row r="435" spans="1:9" ht="16.5" customHeight="1">
      <c r="A435" s="80"/>
      <c r="B435" s="80"/>
      <c r="C435" s="8">
        <v>4010</v>
      </c>
      <c r="D435" s="169" t="s">
        <v>492</v>
      </c>
      <c r="E435" s="52">
        <v>313000</v>
      </c>
      <c r="F435" s="126"/>
      <c r="G435" s="52">
        <v>247000</v>
      </c>
      <c r="H435" s="233"/>
      <c r="I435" s="242"/>
    </row>
    <row r="436" spans="1:9" ht="16.5" customHeight="1">
      <c r="A436" s="80"/>
      <c r="B436" s="80"/>
      <c r="C436" s="2">
        <v>4040</v>
      </c>
      <c r="D436" s="169" t="s">
        <v>493</v>
      </c>
      <c r="E436" s="52">
        <v>26000</v>
      </c>
      <c r="F436" s="126"/>
      <c r="G436" s="52">
        <v>26000</v>
      </c>
      <c r="H436" s="233"/>
      <c r="I436" s="242"/>
    </row>
    <row r="437" spans="1:9" ht="16.5" customHeight="1">
      <c r="A437" s="80"/>
      <c r="B437" s="80"/>
      <c r="C437" s="8">
        <v>4110</v>
      </c>
      <c r="D437" s="169" t="s">
        <v>519</v>
      </c>
      <c r="E437" s="52">
        <v>54500</v>
      </c>
      <c r="F437" s="126"/>
      <c r="G437" s="52">
        <v>43500</v>
      </c>
      <c r="H437" s="233"/>
      <c r="I437" s="242"/>
    </row>
    <row r="438" spans="1:9" ht="16.5" customHeight="1">
      <c r="A438" s="80"/>
      <c r="B438" s="80"/>
      <c r="C438" s="8">
        <v>4120</v>
      </c>
      <c r="D438" s="169" t="s">
        <v>520</v>
      </c>
      <c r="E438" s="52">
        <v>7500</v>
      </c>
      <c r="F438" s="126"/>
      <c r="G438" s="52">
        <v>6700</v>
      </c>
      <c r="H438" s="233"/>
      <c r="I438" s="242"/>
    </row>
    <row r="439" spans="1:9" ht="16.5" customHeight="1">
      <c r="A439" s="80"/>
      <c r="B439" s="80"/>
      <c r="C439" s="2">
        <v>4170</v>
      </c>
      <c r="D439" s="169" t="s">
        <v>526</v>
      </c>
      <c r="E439" s="52">
        <v>81000</v>
      </c>
      <c r="F439" s="126"/>
      <c r="G439" s="52">
        <v>35000</v>
      </c>
      <c r="H439" s="233"/>
      <c r="I439" s="242"/>
    </row>
    <row r="440" spans="1:9" ht="16.5" customHeight="1">
      <c r="A440" s="80"/>
      <c r="B440" s="80"/>
      <c r="C440" s="8">
        <v>4190</v>
      </c>
      <c r="D440" s="169" t="s">
        <v>175</v>
      </c>
      <c r="E440" s="52">
        <v>1100</v>
      </c>
      <c r="F440" s="126"/>
      <c r="G440" s="52">
        <v>3000</v>
      </c>
      <c r="H440" s="233"/>
      <c r="I440" s="242"/>
    </row>
    <row r="441" spans="1:9" ht="16.5" customHeight="1">
      <c r="A441" s="80"/>
      <c r="B441" s="80"/>
      <c r="C441" s="8">
        <v>4210</v>
      </c>
      <c r="D441" s="169" t="s">
        <v>449</v>
      </c>
      <c r="E441" s="52">
        <v>12850</v>
      </c>
      <c r="F441" s="126"/>
      <c r="G441" s="52">
        <f>10850+4000</f>
        <v>14850</v>
      </c>
      <c r="H441" s="233"/>
      <c r="I441" s="242"/>
    </row>
    <row r="442" spans="1:9" ht="16.5" customHeight="1">
      <c r="A442" s="80"/>
      <c r="B442" s="80"/>
      <c r="C442" s="8">
        <v>4260</v>
      </c>
      <c r="D442" s="169" t="s">
        <v>533</v>
      </c>
      <c r="E442" s="52">
        <v>27100</v>
      </c>
      <c r="F442" s="126"/>
      <c r="G442" s="52">
        <v>27100</v>
      </c>
      <c r="H442" s="233"/>
      <c r="I442" s="242"/>
    </row>
    <row r="443" spans="1:9" ht="16.5" customHeight="1">
      <c r="A443" s="80"/>
      <c r="B443" s="80"/>
      <c r="C443" s="8">
        <v>4270</v>
      </c>
      <c r="D443" s="169" t="s">
        <v>450</v>
      </c>
      <c r="E443" s="52">
        <v>3400</v>
      </c>
      <c r="F443" s="126"/>
      <c r="G443" s="52">
        <v>1800</v>
      </c>
      <c r="H443" s="233"/>
      <c r="I443" s="242"/>
    </row>
    <row r="444" spans="1:9" ht="16.5" customHeight="1">
      <c r="A444" s="80"/>
      <c r="B444" s="80"/>
      <c r="C444" s="8">
        <v>4300</v>
      </c>
      <c r="D444" s="169" t="s">
        <v>446</v>
      </c>
      <c r="E444" s="52">
        <v>226236.83</v>
      </c>
      <c r="F444" s="126"/>
      <c r="G444" s="52">
        <f>12008+80500</f>
        <v>92508</v>
      </c>
      <c r="H444" s="233"/>
      <c r="I444" s="242"/>
    </row>
    <row r="445" spans="1:9" ht="22.5" customHeight="1">
      <c r="A445" s="80"/>
      <c r="B445" s="80"/>
      <c r="C445" s="2">
        <v>4360</v>
      </c>
      <c r="D445" s="169" t="s">
        <v>216</v>
      </c>
      <c r="E445" s="52">
        <v>7600</v>
      </c>
      <c r="F445" s="126"/>
      <c r="G445" s="52">
        <v>7600</v>
      </c>
      <c r="H445" s="233"/>
      <c r="I445" s="242"/>
    </row>
    <row r="446" spans="1:9" ht="24.75" customHeight="1">
      <c r="A446" s="80"/>
      <c r="B446" s="80"/>
      <c r="C446" s="2">
        <v>4390</v>
      </c>
      <c r="D446" s="169" t="s">
        <v>354</v>
      </c>
      <c r="E446" s="52">
        <v>8000</v>
      </c>
      <c r="F446" s="126"/>
      <c r="G446" s="52">
        <v>8000</v>
      </c>
      <c r="H446" s="233"/>
      <c r="I446" s="242"/>
    </row>
    <row r="447" spans="1:9" ht="16.5" customHeight="1">
      <c r="A447" s="80"/>
      <c r="B447" s="80"/>
      <c r="C447" s="8">
        <v>4410</v>
      </c>
      <c r="D447" s="169" t="s">
        <v>523</v>
      </c>
      <c r="E447" s="52">
        <v>3700</v>
      </c>
      <c r="F447" s="126"/>
      <c r="G447" s="52">
        <v>3700</v>
      </c>
      <c r="H447" s="233"/>
      <c r="I447" s="242"/>
    </row>
    <row r="448" spans="1:9" ht="16.5" customHeight="1">
      <c r="A448" s="80"/>
      <c r="B448" s="80"/>
      <c r="C448" s="2">
        <v>4430</v>
      </c>
      <c r="D448" s="169" t="s">
        <v>429</v>
      </c>
      <c r="E448" s="52">
        <v>200</v>
      </c>
      <c r="F448" s="126"/>
      <c r="G448" s="52">
        <v>200</v>
      </c>
      <c r="H448" s="233"/>
      <c r="I448" s="242"/>
    </row>
    <row r="449" spans="1:9" ht="24.75" customHeight="1">
      <c r="A449" s="80"/>
      <c r="B449" s="80"/>
      <c r="C449" s="2">
        <v>4440</v>
      </c>
      <c r="D449" s="169" t="s">
        <v>521</v>
      </c>
      <c r="E449" s="52">
        <v>12900</v>
      </c>
      <c r="F449" s="126"/>
      <c r="G449" s="52">
        <v>13375</v>
      </c>
      <c r="H449" s="233"/>
      <c r="I449" s="242"/>
    </row>
    <row r="450" spans="1:9" ht="16.5" customHeight="1">
      <c r="A450" s="80"/>
      <c r="B450" s="80"/>
      <c r="C450" s="2">
        <v>4480</v>
      </c>
      <c r="D450" s="169" t="s">
        <v>367</v>
      </c>
      <c r="E450" s="52">
        <v>1892</v>
      </c>
      <c r="F450" s="126"/>
      <c r="G450" s="52">
        <v>2017</v>
      </c>
      <c r="H450" s="233"/>
      <c r="I450" s="242"/>
    </row>
    <row r="451" spans="1:9" ht="24.75" customHeight="1">
      <c r="A451" s="80"/>
      <c r="B451" s="80"/>
      <c r="C451" s="8">
        <v>4520</v>
      </c>
      <c r="D451" s="169" t="s">
        <v>417</v>
      </c>
      <c r="E451" s="52">
        <v>3150</v>
      </c>
      <c r="F451" s="126"/>
      <c r="G451" s="52">
        <v>3150</v>
      </c>
      <c r="H451" s="233"/>
      <c r="I451" s="242"/>
    </row>
    <row r="452" spans="1:9" ht="24.75" customHeight="1">
      <c r="A452" s="80"/>
      <c r="B452" s="80"/>
      <c r="C452" s="2">
        <v>4610</v>
      </c>
      <c r="D452" s="169" t="s">
        <v>508</v>
      </c>
      <c r="E452" s="52">
        <v>1000</v>
      </c>
      <c r="F452" s="126"/>
      <c r="G452" s="52">
        <v>1000</v>
      </c>
      <c r="H452" s="233"/>
      <c r="I452" s="241"/>
    </row>
    <row r="453" spans="1:9" ht="20.25" customHeight="1">
      <c r="A453" s="80"/>
      <c r="B453" s="24">
        <v>85158</v>
      </c>
      <c r="C453" s="24"/>
      <c r="D453" s="174" t="s">
        <v>366</v>
      </c>
      <c r="E453" s="28">
        <f>SUM(E454:E473)</f>
        <v>1122200</v>
      </c>
      <c r="F453" s="126"/>
      <c r="G453" s="28">
        <f>SUM(G454:G473)</f>
        <v>0</v>
      </c>
      <c r="H453" s="233"/>
      <c r="I453" s="242"/>
    </row>
    <row r="454" spans="1:9" ht="28.5" customHeight="1">
      <c r="A454" s="80"/>
      <c r="B454" s="15"/>
      <c r="C454" s="8">
        <v>3020</v>
      </c>
      <c r="D454" s="169" t="s">
        <v>324</v>
      </c>
      <c r="E454" s="87">
        <v>2000</v>
      </c>
      <c r="F454" s="126"/>
      <c r="G454" s="87"/>
      <c r="H454" s="233"/>
      <c r="I454" s="289"/>
    </row>
    <row r="455" spans="1:9" ht="16.5" customHeight="1">
      <c r="A455" s="80"/>
      <c r="B455" s="17"/>
      <c r="C455" s="8">
        <v>4010</v>
      </c>
      <c r="D455" s="169" t="s">
        <v>492</v>
      </c>
      <c r="E455" s="52">
        <v>690000</v>
      </c>
      <c r="F455" s="126"/>
      <c r="G455" s="52"/>
      <c r="H455" s="233"/>
      <c r="I455" s="242"/>
    </row>
    <row r="456" spans="1:9" ht="16.5" customHeight="1">
      <c r="A456" s="80"/>
      <c r="B456" s="17"/>
      <c r="C456" s="8">
        <v>4040</v>
      </c>
      <c r="D456" s="169" t="s">
        <v>493</v>
      </c>
      <c r="E456" s="52">
        <v>58615</v>
      </c>
      <c r="F456" s="126"/>
      <c r="G456" s="52"/>
      <c r="H456" s="233"/>
      <c r="I456" s="242"/>
    </row>
    <row r="457" spans="1:9" ht="16.5" customHeight="1">
      <c r="A457" s="80"/>
      <c r="B457" s="17"/>
      <c r="C457" s="8">
        <v>4110</v>
      </c>
      <c r="D457" s="169" t="s">
        <v>519</v>
      </c>
      <c r="E457" s="52">
        <v>115060</v>
      </c>
      <c r="F457" s="126"/>
      <c r="G457" s="52"/>
      <c r="H457" s="233"/>
      <c r="I457" s="242"/>
    </row>
    <row r="458" spans="1:9" ht="16.5" customHeight="1">
      <c r="A458" s="80"/>
      <c r="B458" s="17"/>
      <c r="C458" s="8">
        <v>4120</v>
      </c>
      <c r="D458" s="169" t="s">
        <v>520</v>
      </c>
      <c r="E458" s="52">
        <v>11939</v>
      </c>
      <c r="F458" s="126"/>
      <c r="G458" s="52"/>
      <c r="H458" s="233"/>
      <c r="I458" s="242"/>
    </row>
    <row r="459" spans="1:9" ht="16.5" customHeight="1">
      <c r="A459" s="80"/>
      <c r="B459" s="17"/>
      <c r="C459" s="2">
        <v>4170</v>
      </c>
      <c r="D459" s="169" t="s">
        <v>526</v>
      </c>
      <c r="E459" s="52">
        <v>13277</v>
      </c>
      <c r="F459" s="126"/>
      <c r="G459" s="52"/>
      <c r="H459" s="233"/>
      <c r="I459" s="242"/>
    </row>
    <row r="460" spans="1:9" ht="16.5" customHeight="1">
      <c r="A460" s="80"/>
      <c r="B460" s="17"/>
      <c r="C460" s="8">
        <v>4210</v>
      </c>
      <c r="D460" s="169" t="s">
        <v>449</v>
      </c>
      <c r="E460" s="52">
        <v>32409</v>
      </c>
      <c r="F460" s="126"/>
      <c r="G460" s="52"/>
      <c r="H460" s="233"/>
      <c r="I460" s="242"/>
    </row>
    <row r="461" spans="1:9" ht="23.25" customHeight="1">
      <c r="A461" s="80"/>
      <c r="B461" s="17"/>
      <c r="C461" s="8">
        <v>4230</v>
      </c>
      <c r="D461" s="169" t="s">
        <v>289</v>
      </c>
      <c r="E461" s="52">
        <v>1000</v>
      </c>
      <c r="F461" s="126"/>
      <c r="G461" s="52"/>
      <c r="H461" s="233"/>
      <c r="I461" s="242"/>
    </row>
    <row r="462" spans="1:9" ht="16.5" customHeight="1">
      <c r="A462" s="80"/>
      <c r="B462" s="17"/>
      <c r="C462" s="8">
        <v>4260</v>
      </c>
      <c r="D462" s="169" t="s">
        <v>533</v>
      </c>
      <c r="E462" s="52">
        <v>65300</v>
      </c>
      <c r="F462" s="126"/>
      <c r="G462" s="52"/>
      <c r="H462" s="233"/>
      <c r="I462" s="242"/>
    </row>
    <row r="463" spans="1:9" ht="16.5" customHeight="1">
      <c r="A463" s="80"/>
      <c r="B463" s="17"/>
      <c r="C463" s="8">
        <v>4270</v>
      </c>
      <c r="D463" s="169" t="s">
        <v>450</v>
      </c>
      <c r="E463" s="52">
        <v>5000</v>
      </c>
      <c r="F463" s="126"/>
      <c r="G463" s="52"/>
      <c r="H463" s="233"/>
      <c r="I463" s="242"/>
    </row>
    <row r="464" spans="1:9" ht="16.5" customHeight="1">
      <c r="A464" s="80"/>
      <c r="B464" s="17"/>
      <c r="C464" s="8">
        <v>4280</v>
      </c>
      <c r="D464" s="169" t="s">
        <v>286</v>
      </c>
      <c r="E464" s="52">
        <v>900</v>
      </c>
      <c r="F464" s="126"/>
      <c r="G464" s="52"/>
      <c r="H464" s="233"/>
      <c r="I464" s="242"/>
    </row>
    <row r="465" spans="1:9" ht="16.5" customHeight="1">
      <c r="A465" s="80"/>
      <c r="B465" s="17"/>
      <c r="C465" s="8">
        <v>4300</v>
      </c>
      <c r="D465" s="169" t="s">
        <v>446</v>
      </c>
      <c r="E465" s="52">
        <v>80000</v>
      </c>
      <c r="F465" s="126"/>
      <c r="G465" s="52"/>
      <c r="H465" s="233"/>
      <c r="I465" s="242"/>
    </row>
    <row r="466" spans="1:9" ht="23.25" customHeight="1">
      <c r="A466" s="80"/>
      <c r="B466" s="17"/>
      <c r="C466" s="2">
        <v>4360</v>
      </c>
      <c r="D466" s="169" t="s">
        <v>216</v>
      </c>
      <c r="E466" s="52">
        <v>4160</v>
      </c>
      <c r="F466" s="126"/>
      <c r="G466" s="52"/>
      <c r="H466" s="233"/>
      <c r="I466" s="242"/>
    </row>
    <row r="467" spans="1:9" ht="17.25" customHeight="1">
      <c r="A467" s="80"/>
      <c r="B467" s="17"/>
      <c r="C467" s="8">
        <v>4410</v>
      </c>
      <c r="D467" s="169" t="s">
        <v>523</v>
      </c>
      <c r="E467" s="52">
        <v>1800</v>
      </c>
      <c r="F467" s="126"/>
      <c r="G467" s="52"/>
      <c r="H467" s="233"/>
      <c r="I467" s="242"/>
    </row>
    <row r="468" spans="1:9" ht="24" customHeight="1">
      <c r="A468" s="80"/>
      <c r="B468" s="17"/>
      <c r="C468" s="8">
        <v>4440</v>
      </c>
      <c r="D468" s="169" t="s">
        <v>521</v>
      </c>
      <c r="E468" s="52">
        <v>22973</v>
      </c>
      <c r="F468" s="126"/>
      <c r="G468" s="52"/>
      <c r="H468" s="233"/>
      <c r="I468" s="242"/>
    </row>
    <row r="469" spans="1:9" ht="16.5" customHeight="1">
      <c r="A469" s="80"/>
      <c r="B469" s="17"/>
      <c r="C469" s="8">
        <v>4480</v>
      </c>
      <c r="D469" s="169" t="s">
        <v>367</v>
      </c>
      <c r="E469" s="52">
        <v>10436</v>
      </c>
      <c r="F469" s="126"/>
      <c r="G469" s="52"/>
      <c r="H469" s="233"/>
      <c r="I469" s="242"/>
    </row>
    <row r="470" spans="1:9" ht="23.25" customHeight="1">
      <c r="A470" s="80"/>
      <c r="B470" s="17"/>
      <c r="C470" s="8">
        <v>4520</v>
      </c>
      <c r="D470" s="169" t="s">
        <v>417</v>
      </c>
      <c r="E470" s="52">
        <v>755</v>
      </c>
      <c r="F470" s="126"/>
      <c r="G470" s="52"/>
      <c r="H470" s="233"/>
      <c r="I470" s="242"/>
    </row>
    <row r="471" spans="1:9" ht="23.25" customHeight="1">
      <c r="A471" s="80"/>
      <c r="B471" s="17"/>
      <c r="C471" s="8">
        <v>4590</v>
      </c>
      <c r="D471" s="169" t="s">
        <v>451</v>
      </c>
      <c r="E471" s="52">
        <v>1500</v>
      </c>
      <c r="F471" s="126"/>
      <c r="G471" s="52"/>
      <c r="H471" s="233"/>
      <c r="I471" s="242"/>
    </row>
    <row r="472" spans="1:9" ht="23.25" customHeight="1">
      <c r="A472" s="80"/>
      <c r="B472" s="17"/>
      <c r="C472" s="8">
        <v>4610</v>
      </c>
      <c r="D472" s="169" t="s">
        <v>508</v>
      </c>
      <c r="E472" s="52">
        <v>1076</v>
      </c>
      <c r="F472" s="126"/>
      <c r="G472" s="52"/>
      <c r="H472" s="233"/>
      <c r="I472" s="242"/>
    </row>
    <row r="473" spans="1:9" ht="23.25" customHeight="1">
      <c r="A473" s="80"/>
      <c r="B473" s="17"/>
      <c r="C473" s="2">
        <v>4700</v>
      </c>
      <c r="D473" s="169" t="s">
        <v>418</v>
      </c>
      <c r="E473" s="52">
        <v>4000</v>
      </c>
      <c r="F473" s="126"/>
      <c r="G473" s="52"/>
      <c r="H473" s="233"/>
      <c r="I473" s="241"/>
    </row>
    <row r="474" spans="1:9" ht="20.25" customHeight="1">
      <c r="A474" s="97"/>
      <c r="B474" s="46">
        <v>85195</v>
      </c>
      <c r="C474" s="23"/>
      <c r="D474" s="174" t="s">
        <v>535</v>
      </c>
      <c r="E474" s="90">
        <f>SUM(E475:E477)</f>
        <v>40500</v>
      </c>
      <c r="F474" s="126"/>
      <c r="G474" s="90">
        <f>SUM(G476:G477)</f>
        <v>0</v>
      </c>
      <c r="H474" s="233"/>
      <c r="I474" s="242"/>
    </row>
    <row r="475" spans="1:9" ht="15" customHeight="1">
      <c r="A475" s="97"/>
      <c r="B475" s="285"/>
      <c r="C475" s="8">
        <v>4190</v>
      </c>
      <c r="D475" s="169" t="s">
        <v>175</v>
      </c>
      <c r="E475" s="87">
        <v>366</v>
      </c>
      <c r="F475" s="126"/>
      <c r="G475" s="120"/>
      <c r="H475" s="233"/>
      <c r="I475" s="289"/>
    </row>
    <row r="476" spans="1:9" ht="17.25" customHeight="1">
      <c r="A476" s="80"/>
      <c r="B476" s="283"/>
      <c r="C476" s="8">
        <v>4210</v>
      </c>
      <c r="D476" s="169" t="s">
        <v>445</v>
      </c>
      <c r="E476" s="87">
        <v>134</v>
      </c>
      <c r="F476" s="126"/>
      <c r="G476" s="87"/>
      <c r="H476" s="233"/>
      <c r="I476" s="242"/>
    </row>
    <row r="477" spans="1:9" ht="17.25" customHeight="1">
      <c r="A477" s="80"/>
      <c r="B477" s="283"/>
      <c r="C477" s="8">
        <v>4300</v>
      </c>
      <c r="D477" s="169" t="s">
        <v>446</v>
      </c>
      <c r="E477" s="87">
        <v>40000</v>
      </c>
      <c r="F477" s="126"/>
      <c r="G477" s="87"/>
      <c r="H477" s="233"/>
      <c r="I477" s="241"/>
    </row>
    <row r="478" spans="1:9" ht="23.25" customHeight="1">
      <c r="A478" s="57">
        <v>852</v>
      </c>
      <c r="B478" s="89"/>
      <c r="C478" s="11"/>
      <c r="D478" s="173" t="s">
        <v>422</v>
      </c>
      <c r="E478" s="83">
        <f>E479+E482+E501+E504+E513+E520+E538+E540+E542+E545+E547+E570+E578+E581+E583</f>
        <v>52055234.14</v>
      </c>
      <c r="F478" s="83">
        <f>F479+F482+F501+F504+F513+F520+F538+F540+F542+F545+F547+F570+F578+F581+F583</f>
        <v>23764238</v>
      </c>
      <c r="G478" s="83">
        <f>G479+G482+G501+G504+G513+G520+G538+G540+G542+G545+G547+G570+G578+G581+G583</f>
        <v>44436555</v>
      </c>
      <c r="H478" s="83">
        <f>H479+H482+H501+H504+H513+H520+H538+H540+H542+H545+H547+H570+H578+H581+H583</f>
        <v>23454275</v>
      </c>
      <c r="I478" s="215">
        <f>G478/E478*100</f>
        <v>85.36423999263948</v>
      </c>
    </row>
    <row r="479" spans="1:9" s="53" customFormat="1" ht="20.25" customHeight="1">
      <c r="A479" s="92"/>
      <c r="B479" s="103">
        <v>85202</v>
      </c>
      <c r="C479" s="23"/>
      <c r="D479" s="174" t="s">
        <v>553</v>
      </c>
      <c r="E479" s="28">
        <f>SUM(E480:E481)</f>
        <v>3105000</v>
      </c>
      <c r="F479" s="90"/>
      <c r="G479" s="28">
        <f>SUM(G480:G481)</f>
        <v>2910000</v>
      </c>
      <c r="H479" s="28"/>
      <c r="I479" s="289">
        <f>G479/E479*100</f>
        <v>93.71980676328504</v>
      </c>
    </row>
    <row r="480" spans="1:9" ht="15.75" customHeight="1">
      <c r="A480" s="70"/>
      <c r="B480" s="62"/>
      <c r="C480" s="8">
        <v>4300</v>
      </c>
      <c r="D480" s="169" t="s">
        <v>446</v>
      </c>
      <c r="E480" s="26">
        <v>1345000</v>
      </c>
      <c r="F480" s="52"/>
      <c r="G480" s="26">
        <v>1110000</v>
      </c>
      <c r="H480" s="26"/>
      <c r="I480" s="289"/>
    </row>
    <row r="481" spans="1:9" ht="34.5" customHeight="1">
      <c r="A481" s="70"/>
      <c r="B481" s="68"/>
      <c r="C481" s="8">
        <v>4330</v>
      </c>
      <c r="D481" s="169" t="s">
        <v>261</v>
      </c>
      <c r="E481" s="26">
        <v>1760000</v>
      </c>
      <c r="F481" s="52"/>
      <c r="G481" s="26">
        <v>1800000</v>
      </c>
      <c r="H481" s="26"/>
      <c r="I481" s="241"/>
    </row>
    <row r="482" spans="1:9" ht="20.25" customHeight="1">
      <c r="A482" s="66"/>
      <c r="B482" s="24">
        <v>85203</v>
      </c>
      <c r="C482" s="24"/>
      <c r="D482" s="174" t="s">
        <v>290</v>
      </c>
      <c r="E482" s="90">
        <f>SUM(E483:E500)</f>
        <v>447241</v>
      </c>
      <c r="F482" s="90">
        <f>SUM(F483:F500)</f>
        <v>401240</v>
      </c>
      <c r="G482" s="90">
        <f>SUM(G483:G500)</f>
        <v>475200</v>
      </c>
      <c r="H482" s="90">
        <f>SUM(H483:H500)</f>
        <v>475200</v>
      </c>
      <c r="I482" s="242">
        <f>G482/E482*100</f>
        <v>106.25143938055768</v>
      </c>
    </row>
    <row r="483" spans="1:9" ht="62.25" customHeight="1">
      <c r="A483" s="69"/>
      <c r="B483" s="32"/>
      <c r="C483" s="2">
        <v>2360</v>
      </c>
      <c r="D483" s="169" t="s">
        <v>227</v>
      </c>
      <c r="E483" s="52">
        <v>122640</v>
      </c>
      <c r="F483" s="52">
        <v>122640</v>
      </c>
      <c r="G483" s="52">
        <v>237600</v>
      </c>
      <c r="H483" s="26">
        <v>237600</v>
      </c>
      <c r="I483" s="289"/>
    </row>
    <row r="484" spans="1:9" ht="24.75" customHeight="1">
      <c r="A484" s="69"/>
      <c r="B484" s="32"/>
      <c r="C484" s="8">
        <v>3020</v>
      </c>
      <c r="D484" s="169" t="s">
        <v>324</v>
      </c>
      <c r="E484" s="52">
        <v>500</v>
      </c>
      <c r="F484" s="52">
        <v>500</v>
      </c>
      <c r="G484" s="52">
        <v>300</v>
      </c>
      <c r="H484" s="26">
        <v>300</v>
      </c>
      <c r="I484" s="242"/>
    </row>
    <row r="485" spans="1:9" ht="16.5" customHeight="1">
      <c r="A485" s="69"/>
      <c r="B485" s="7"/>
      <c r="C485" s="8">
        <v>4010</v>
      </c>
      <c r="D485" s="169" t="s">
        <v>492</v>
      </c>
      <c r="E485" s="52">
        <v>163506</v>
      </c>
      <c r="F485" s="52">
        <v>120000</v>
      </c>
      <c r="G485" s="52">
        <v>123786</v>
      </c>
      <c r="H485" s="26">
        <v>123786</v>
      </c>
      <c r="I485" s="242"/>
    </row>
    <row r="486" spans="1:9" ht="16.5" customHeight="1">
      <c r="A486" s="69"/>
      <c r="B486" s="7"/>
      <c r="C486" s="8">
        <v>4040</v>
      </c>
      <c r="D486" s="169" t="s">
        <v>493</v>
      </c>
      <c r="E486" s="52">
        <v>15155.03</v>
      </c>
      <c r="F486" s="52">
        <v>15155.03</v>
      </c>
      <c r="G486" s="52">
        <v>13706</v>
      </c>
      <c r="H486" s="26">
        <v>13706</v>
      </c>
      <c r="I486" s="242"/>
    </row>
    <row r="487" spans="1:9" ht="16.5" customHeight="1">
      <c r="A487" s="69"/>
      <c r="B487" s="7"/>
      <c r="C487" s="8">
        <v>4110</v>
      </c>
      <c r="D487" s="169" t="s">
        <v>519</v>
      </c>
      <c r="E487" s="52">
        <v>32495</v>
      </c>
      <c r="F487" s="52">
        <v>30000</v>
      </c>
      <c r="G487" s="52">
        <v>23972</v>
      </c>
      <c r="H487" s="26">
        <v>23972</v>
      </c>
      <c r="I487" s="242"/>
    </row>
    <row r="488" spans="1:9" ht="16.5" customHeight="1">
      <c r="A488" s="69"/>
      <c r="B488" s="7"/>
      <c r="C488" s="8">
        <v>4120</v>
      </c>
      <c r="D488" s="169" t="s">
        <v>520</v>
      </c>
      <c r="E488" s="52">
        <v>5290</v>
      </c>
      <c r="F488" s="52">
        <v>5290</v>
      </c>
      <c r="G488" s="52">
        <v>3233</v>
      </c>
      <c r="H488" s="26">
        <v>3233</v>
      </c>
      <c r="I488" s="242"/>
    </row>
    <row r="489" spans="1:9" ht="16.5" customHeight="1">
      <c r="A489" s="69"/>
      <c r="B489" s="420"/>
      <c r="C489" s="421">
        <v>4170</v>
      </c>
      <c r="D489" s="422" t="s">
        <v>526</v>
      </c>
      <c r="E489" s="52"/>
      <c r="F489" s="52"/>
      <c r="G489" s="52">
        <v>7000</v>
      </c>
      <c r="H489" s="26">
        <v>7000</v>
      </c>
      <c r="I489" s="242"/>
    </row>
    <row r="490" spans="1:9" ht="16.5" customHeight="1">
      <c r="A490" s="69"/>
      <c r="B490" s="7"/>
      <c r="C490" s="8">
        <v>4210</v>
      </c>
      <c r="D490" s="169" t="s">
        <v>449</v>
      </c>
      <c r="E490" s="52">
        <v>52700</v>
      </c>
      <c r="F490" s="52">
        <v>52700</v>
      </c>
      <c r="G490" s="52">
        <v>12000</v>
      </c>
      <c r="H490" s="26">
        <v>12000</v>
      </c>
      <c r="I490" s="242"/>
    </row>
    <row r="491" spans="1:9" ht="16.5" customHeight="1">
      <c r="A491" s="69"/>
      <c r="B491" s="7"/>
      <c r="C491" s="8">
        <v>4260</v>
      </c>
      <c r="D491" s="169" t="s">
        <v>533</v>
      </c>
      <c r="E491" s="52">
        <v>13000</v>
      </c>
      <c r="F491" s="52">
        <v>13000</v>
      </c>
      <c r="G491" s="52">
        <v>10000</v>
      </c>
      <c r="H491" s="26">
        <v>10000</v>
      </c>
      <c r="I491" s="242"/>
    </row>
    <row r="492" spans="1:9" ht="16.5" customHeight="1">
      <c r="A492" s="69"/>
      <c r="B492" s="7"/>
      <c r="C492" s="8">
        <v>4270</v>
      </c>
      <c r="D492" s="169" t="s">
        <v>450</v>
      </c>
      <c r="E492" s="52"/>
      <c r="F492" s="52"/>
      <c r="G492" s="52">
        <v>1000</v>
      </c>
      <c r="H492" s="26">
        <v>1000</v>
      </c>
      <c r="I492" s="242"/>
    </row>
    <row r="493" spans="1:9" ht="16.5" customHeight="1">
      <c r="A493" s="69"/>
      <c r="B493" s="7"/>
      <c r="C493" s="8">
        <v>4280</v>
      </c>
      <c r="D493" s="169" t="s">
        <v>286</v>
      </c>
      <c r="E493" s="52"/>
      <c r="F493" s="52"/>
      <c r="G493" s="52">
        <v>150</v>
      </c>
      <c r="H493" s="26">
        <v>150</v>
      </c>
      <c r="I493" s="242"/>
    </row>
    <row r="494" spans="1:9" ht="16.5" customHeight="1">
      <c r="A494" s="69"/>
      <c r="B494" s="7"/>
      <c r="C494" s="8">
        <v>4300</v>
      </c>
      <c r="D494" s="169" t="s">
        <v>446</v>
      </c>
      <c r="E494" s="52">
        <v>15700</v>
      </c>
      <c r="F494" s="52">
        <v>15700</v>
      </c>
      <c r="G494" s="52">
        <v>17835</v>
      </c>
      <c r="H494" s="26">
        <v>17835</v>
      </c>
      <c r="I494" s="242"/>
    </row>
    <row r="495" spans="1:9" ht="24" customHeight="1">
      <c r="A495" s="69"/>
      <c r="B495" s="7"/>
      <c r="C495" s="8">
        <v>4360</v>
      </c>
      <c r="D495" s="169" t="s">
        <v>216</v>
      </c>
      <c r="E495" s="52">
        <v>2813</v>
      </c>
      <c r="F495" s="52">
        <v>2813</v>
      </c>
      <c r="G495" s="52">
        <v>1680</v>
      </c>
      <c r="H495" s="26">
        <v>1680</v>
      </c>
      <c r="I495" s="242"/>
    </row>
    <row r="496" spans="1:9" ht="24" customHeight="1">
      <c r="A496" s="69"/>
      <c r="B496" s="7"/>
      <c r="C496" s="8">
        <v>4400</v>
      </c>
      <c r="D496" s="169" t="s">
        <v>291</v>
      </c>
      <c r="E496" s="52">
        <v>15712</v>
      </c>
      <c r="F496" s="52">
        <v>15712</v>
      </c>
      <c r="G496" s="52">
        <v>14400</v>
      </c>
      <c r="H496" s="26">
        <v>14400</v>
      </c>
      <c r="I496" s="242"/>
    </row>
    <row r="497" spans="1:9" ht="16.5" customHeight="1">
      <c r="A497" s="69"/>
      <c r="B497" s="7"/>
      <c r="C497" s="8">
        <v>4410</v>
      </c>
      <c r="D497" s="169" t="s">
        <v>523</v>
      </c>
      <c r="E497" s="52">
        <v>1000</v>
      </c>
      <c r="F497" s="52">
        <v>1000</v>
      </c>
      <c r="G497" s="52">
        <v>2000</v>
      </c>
      <c r="H497" s="26">
        <v>2000</v>
      </c>
      <c r="I497" s="242"/>
    </row>
    <row r="498" spans="1:9" ht="16.5" customHeight="1">
      <c r="A498" s="69"/>
      <c r="B498" s="7"/>
      <c r="C498" s="8">
        <v>4430</v>
      </c>
      <c r="D498" s="169" t="s">
        <v>429</v>
      </c>
      <c r="E498" s="52">
        <v>768</v>
      </c>
      <c r="F498" s="52">
        <v>768</v>
      </c>
      <c r="G498" s="52">
        <v>800</v>
      </c>
      <c r="H498" s="26">
        <v>800</v>
      </c>
      <c r="I498" s="242"/>
    </row>
    <row r="499" spans="1:9" ht="24.75" customHeight="1">
      <c r="A499" s="69"/>
      <c r="B499" s="7"/>
      <c r="C499" s="8">
        <v>4440</v>
      </c>
      <c r="D499" s="169" t="s">
        <v>521</v>
      </c>
      <c r="E499" s="52">
        <v>5470</v>
      </c>
      <c r="F499" s="52">
        <v>5470</v>
      </c>
      <c r="G499" s="52">
        <v>3738</v>
      </c>
      <c r="H499" s="26">
        <v>3738</v>
      </c>
      <c r="I499" s="242"/>
    </row>
    <row r="500" spans="1:9" ht="24" customHeight="1">
      <c r="A500" s="69"/>
      <c r="B500" s="7"/>
      <c r="C500" s="8">
        <v>4700</v>
      </c>
      <c r="D500" s="169" t="s">
        <v>418</v>
      </c>
      <c r="E500" s="52">
        <v>491.97</v>
      </c>
      <c r="F500" s="52">
        <v>491.97</v>
      </c>
      <c r="G500" s="52">
        <v>2000</v>
      </c>
      <c r="H500" s="26">
        <v>2000</v>
      </c>
      <c r="I500" s="241"/>
    </row>
    <row r="501" spans="1:9" s="53" customFormat="1" ht="20.25" customHeight="1">
      <c r="A501" s="82"/>
      <c r="B501" s="24">
        <v>85204</v>
      </c>
      <c r="C501" s="24"/>
      <c r="D501" s="174" t="s">
        <v>123</v>
      </c>
      <c r="E501" s="90">
        <f>SUM(E502:E503)</f>
        <v>206000</v>
      </c>
      <c r="F501" s="90"/>
      <c r="G501" s="90">
        <f>SUM(G502:G503)</f>
        <v>216000</v>
      </c>
      <c r="H501" s="28"/>
      <c r="I501" s="242">
        <f>G501/E501*100</f>
        <v>104.85436893203884</v>
      </c>
    </row>
    <row r="502" spans="1:9" ht="17.25" customHeight="1">
      <c r="A502" s="66"/>
      <c r="B502" s="9"/>
      <c r="C502" s="2">
        <v>3110</v>
      </c>
      <c r="D502" s="169" t="s">
        <v>502</v>
      </c>
      <c r="E502" s="52">
        <v>140000</v>
      </c>
      <c r="F502" s="52"/>
      <c r="G502" s="52">
        <v>150000</v>
      </c>
      <c r="H502" s="26"/>
      <c r="I502" s="289"/>
    </row>
    <row r="503" spans="1:9" ht="35.25" customHeight="1">
      <c r="A503" s="66"/>
      <c r="B503" s="9"/>
      <c r="C503" s="2">
        <v>4330</v>
      </c>
      <c r="D503" s="169" t="s">
        <v>261</v>
      </c>
      <c r="E503" s="52">
        <v>66000</v>
      </c>
      <c r="F503" s="52"/>
      <c r="G503" s="52">
        <v>66000</v>
      </c>
      <c r="H503" s="26"/>
      <c r="I503" s="241"/>
    </row>
    <row r="504" spans="1:9" s="53" customFormat="1" ht="24" customHeight="1">
      <c r="A504" s="82"/>
      <c r="B504" s="24">
        <v>85205</v>
      </c>
      <c r="C504" s="24"/>
      <c r="D504" s="174" t="s">
        <v>300</v>
      </c>
      <c r="E504" s="90">
        <f>SUM(E505:E512)</f>
        <v>62170</v>
      </c>
      <c r="F504" s="90"/>
      <c r="G504" s="90">
        <f>SUM(G505:G512)</f>
        <v>62544</v>
      </c>
      <c r="H504" s="28"/>
      <c r="I504" s="242">
        <f>G504/E504*100</f>
        <v>100.60157632298537</v>
      </c>
    </row>
    <row r="505" spans="1:9" ht="17.25" customHeight="1">
      <c r="A505" s="66"/>
      <c r="B505" s="9"/>
      <c r="C505" s="2">
        <v>4010</v>
      </c>
      <c r="D505" s="169" t="s">
        <v>492</v>
      </c>
      <c r="E505" s="52">
        <v>30210</v>
      </c>
      <c r="F505" s="52"/>
      <c r="G505" s="52">
        <v>30564</v>
      </c>
      <c r="H505" s="26"/>
      <c r="I505" s="289"/>
    </row>
    <row r="506" spans="1:9" ht="17.25" customHeight="1">
      <c r="A506" s="66"/>
      <c r="B506" s="9"/>
      <c r="C506" s="2">
        <v>4040</v>
      </c>
      <c r="D506" s="169" t="s">
        <v>493</v>
      </c>
      <c r="E506" s="52">
        <v>2600</v>
      </c>
      <c r="F506" s="52"/>
      <c r="G506" s="52">
        <v>2600</v>
      </c>
      <c r="H506" s="26"/>
      <c r="I506" s="242"/>
    </row>
    <row r="507" spans="1:9" ht="17.25" customHeight="1">
      <c r="A507" s="66"/>
      <c r="B507" s="9"/>
      <c r="C507" s="2">
        <v>4110</v>
      </c>
      <c r="D507" s="169" t="s">
        <v>519</v>
      </c>
      <c r="E507" s="52">
        <v>6700</v>
      </c>
      <c r="F507" s="52"/>
      <c r="G507" s="52">
        <v>6700</v>
      </c>
      <c r="H507" s="26"/>
      <c r="I507" s="242"/>
    </row>
    <row r="508" spans="1:9" ht="17.25" customHeight="1">
      <c r="A508" s="66"/>
      <c r="B508" s="9"/>
      <c r="C508" s="2">
        <v>4120</v>
      </c>
      <c r="D508" s="169" t="s">
        <v>520</v>
      </c>
      <c r="E508" s="52">
        <v>810</v>
      </c>
      <c r="F508" s="52"/>
      <c r="G508" s="52">
        <v>810</v>
      </c>
      <c r="H508" s="26"/>
      <c r="I508" s="242"/>
    </row>
    <row r="509" spans="1:9" ht="17.25" customHeight="1">
      <c r="A509" s="66"/>
      <c r="B509" s="9"/>
      <c r="C509" s="2">
        <v>4210</v>
      </c>
      <c r="D509" s="169" t="s">
        <v>449</v>
      </c>
      <c r="E509" s="52">
        <v>2200</v>
      </c>
      <c r="F509" s="52"/>
      <c r="G509" s="52">
        <v>2200</v>
      </c>
      <c r="H509" s="26"/>
      <c r="I509" s="242"/>
    </row>
    <row r="510" spans="1:9" ht="17.25" customHeight="1">
      <c r="A510" s="66"/>
      <c r="B510" s="9"/>
      <c r="C510" s="2">
        <v>4260</v>
      </c>
      <c r="D510" s="169" t="s">
        <v>533</v>
      </c>
      <c r="E510" s="52">
        <v>4480</v>
      </c>
      <c r="F510" s="52"/>
      <c r="G510" s="52">
        <v>4500</v>
      </c>
      <c r="H510" s="26"/>
      <c r="I510" s="242"/>
    </row>
    <row r="511" spans="1:9" ht="17.25" customHeight="1">
      <c r="A511" s="66"/>
      <c r="B511" s="9"/>
      <c r="C511" s="2">
        <v>4300</v>
      </c>
      <c r="D511" s="169" t="s">
        <v>446</v>
      </c>
      <c r="E511" s="52">
        <v>14000</v>
      </c>
      <c r="F511" s="52"/>
      <c r="G511" s="52">
        <v>14000</v>
      </c>
      <c r="H511" s="26"/>
      <c r="I511" s="242"/>
    </row>
    <row r="512" spans="1:9" ht="23.25" customHeight="1">
      <c r="A512" s="66"/>
      <c r="B512" s="9"/>
      <c r="C512" s="2">
        <v>4440</v>
      </c>
      <c r="D512" s="169" t="s">
        <v>521</v>
      </c>
      <c r="E512" s="52">
        <v>1170</v>
      </c>
      <c r="F512" s="52"/>
      <c r="G512" s="52">
        <v>1170</v>
      </c>
      <c r="H512" s="26"/>
      <c r="I512" s="242"/>
    </row>
    <row r="513" spans="1:9" s="53" customFormat="1" ht="20.25" customHeight="1">
      <c r="A513" s="82"/>
      <c r="B513" s="24">
        <v>85206</v>
      </c>
      <c r="C513" s="24"/>
      <c r="D513" s="174" t="s">
        <v>536</v>
      </c>
      <c r="E513" s="90">
        <f>SUM(E514:E519)</f>
        <v>251216</v>
      </c>
      <c r="F513" s="90"/>
      <c r="G513" s="90">
        <f>SUM(G514:G519)</f>
        <v>183323</v>
      </c>
      <c r="H513" s="28"/>
      <c r="I513" s="242">
        <f>G513/E513*100</f>
        <v>72.9742532322782</v>
      </c>
    </row>
    <row r="514" spans="1:9" ht="16.5" customHeight="1">
      <c r="A514" s="66"/>
      <c r="B514" s="9"/>
      <c r="C514" s="2">
        <v>4010</v>
      </c>
      <c r="D514" s="169" t="s">
        <v>492</v>
      </c>
      <c r="E514" s="52">
        <v>152639</v>
      </c>
      <c r="F514" s="52"/>
      <c r="G514" s="52">
        <v>137958</v>
      </c>
      <c r="H514" s="26"/>
      <c r="I514" s="289"/>
    </row>
    <row r="515" spans="1:9" ht="16.5" customHeight="1">
      <c r="A515" s="66"/>
      <c r="B515" s="9"/>
      <c r="C515" s="2">
        <v>4040</v>
      </c>
      <c r="D515" s="169" t="s">
        <v>493</v>
      </c>
      <c r="E515" s="52">
        <v>11000</v>
      </c>
      <c r="F515" s="52"/>
      <c r="G515" s="52">
        <v>11000</v>
      </c>
      <c r="H515" s="26"/>
      <c r="I515" s="242"/>
    </row>
    <row r="516" spans="1:9" ht="16.5" customHeight="1">
      <c r="A516" s="66"/>
      <c r="B516" s="9"/>
      <c r="C516" s="2">
        <v>4110</v>
      </c>
      <c r="D516" s="169" t="s">
        <v>519</v>
      </c>
      <c r="E516" s="52">
        <v>38562</v>
      </c>
      <c r="F516" s="52"/>
      <c r="G516" s="52">
        <v>26015</v>
      </c>
      <c r="H516" s="26"/>
      <c r="I516" s="242"/>
    </row>
    <row r="517" spans="1:9" ht="16.5" customHeight="1">
      <c r="A517" s="66"/>
      <c r="B517" s="9"/>
      <c r="C517" s="2">
        <v>4120</v>
      </c>
      <c r="D517" s="169" t="s">
        <v>520</v>
      </c>
      <c r="E517" s="52">
        <v>6528</v>
      </c>
      <c r="F517" s="52"/>
      <c r="G517" s="52">
        <v>3700</v>
      </c>
      <c r="H517" s="26"/>
      <c r="I517" s="242"/>
    </row>
    <row r="518" spans="1:9" ht="16.5" customHeight="1">
      <c r="A518" s="66"/>
      <c r="B518" s="9"/>
      <c r="C518" s="2">
        <v>4170</v>
      </c>
      <c r="D518" s="169" t="s">
        <v>526</v>
      </c>
      <c r="E518" s="52">
        <v>36470</v>
      </c>
      <c r="F518" s="52"/>
      <c r="G518" s="52"/>
      <c r="H518" s="26"/>
      <c r="I518" s="242"/>
    </row>
    <row r="519" spans="1:9" ht="24" customHeight="1">
      <c r="A519" s="66"/>
      <c r="B519" s="9"/>
      <c r="C519" s="2">
        <v>4440</v>
      </c>
      <c r="D519" s="169" t="s">
        <v>521</v>
      </c>
      <c r="E519" s="52">
        <v>6017</v>
      </c>
      <c r="F519" s="52"/>
      <c r="G519" s="52">
        <v>4650</v>
      </c>
      <c r="H519" s="26"/>
      <c r="I519" s="241"/>
    </row>
    <row r="520" spans="1:9" ht="45.75" customHeight="1">
      <c r="A520" s="66"/>
      <c r="B520" s="24">
        <v>85212</v>
      </c>
      <c r="C520" s="24"/>
      <c r="D520" s="174" t="s">
        <v>107</v>
      </c>
      <c r="E520" s="90">
        <f>SUM(E521:E537)</f>
        <v>23395090</v>
      </c>
      <c r="F520" s="90">
        <f>SUM(F521:F537)</f>
        <v>22695000</v>
      </c>
      <c r="G520" s="90">
        <f>SUM(G521:G537)</f>
        <v>23206825</v>
      </c>
      <c r="H520" s="28">
        <f>SUM(H521:H537)</f>
        <v>22604650</v>
      </c>
      <c r="I520" s="242">
        <f>G520/E520*100</f>
        <v>99.19527986427921</v>
      </c>
    </row>
    <row r="521" spans="1:9" ht="24.75" customHeight="1">
      <c r="A521" s="66"/>
      <c r="B521" s="29"/>
      <c r="C521" s="2">
        <v>3020</v>
      </c>
      <c r="D521" s="169" t="s">
        <v>324</v>
      </c>
      <c r="E521" s="52">
        <v>5000</v>
      </c>
      <c r="F521" s="52"/>
      <c r="G521" s="52">
        <v>5000</v>
      </c>
      <c r="H521" s="26"/>
      <c r="I521" s="289"/>
    </row>
    <row r="522" spans="1:9" ht="16.5" customHeight="1">
      <c r="A522" s="66"/>
      <c r="B522" s="9"/>
      <c r="C522" s="2">
        <v>3110</v>
      </c>
      <c r="D522" s="169" t="s">
        <v>502</v>
      </c>
      <c r="E522" s="95">
        <v>20899000</v>
      </c>
      <c r="F522" s="52">
        <v>20781000</v>
      </c>
      <c r="G522" s="52">
        <v>20769500</v>
      </c>
      <c r="H522" s="26">
        <v>20646500</v>
      </c>
      <c r="I522" s="242"/>
    </row>
    <row r="523" spans="1:9" ht="16.5" customHeight="1">
      <c r="A523" s="66"/>
      <c r="B523" s="9"/>
      <c r="C523" s="2">
        <v>4010</v>
      </c>
      <c r="D523" s="169" t="s">
        <v>492</v>
      </c>
      <c r="E523" s="52">
        <v>807000</v>
      </c>
      <c r="F523" s="52">
        <v>489000</v>
      </c>
      <c r="G523" s="52">
        <v>768000</v>
      </c>
      <c r="H523" s="26">
        <v>460000</v>
      </c>
      <c r="I523" s="242"/>
    </row>
    <row r="524" spans="1:9" ht="16.5" customHeight="1">
      <c r="A524" s="66"/>
      <c r="B524" s="9"/>
      <c r="C524" s="2">
        <v>4040</v>
      </c>
      <c r="D524" s="169" t="s">
        <v>493</v>
      </c>
      <c r="E524" s="52">
        <v>68000</v>
      </c>
      <c r="F524" s="52">
        <v>38000</v>
      </c>
      <c r="G524" s="52">
        <v>65030</v>
      </c>
      <c r="H524" s="26">
        <v>38000</v>
      </c>
      <c r="I524" s="242"/>
    </row>
    <row r="525" spans="1:9" ht="16.5" customHeight="1">
      <c r="A525" s="66"/>
      <c r="B525" s="9"/>
      <c r="C525" s="2">
        <v>4110</v>
      </c>
      <c r="D525" s="169" t="s">
        <v>519</v>
      </c>
      <c r="E525" s="52">
        <v>1395745</v>
      </c>
      <c r="F525" s="52">
        <v>1338245</v>
      </c>
      <c r="G525" s="52">
        <v>1439450</v>
      </c>
      <c r="H525" s="26">
        <v>1386950</v>
      </c>
      <c r="I525" s="242"/>
    </row>
    <row r="526" spans="1:9" ht="16.5" customHeight="1">
      <c r="A526" s="66"/>
      <c r="B526" s="9"/>
      <c r="C526" s="2">
        <v>4120</v>
      </c>
      <c r="D526" s="169" t="s">
        <v>520</v>
      </c>
      <c r="E526" s="52">
        <v>17275</v>
      </c>
      <c r="F526" s="52">
        <v>9755</v>
      </c>
      <c r="G526" s="52">
        <v>18520</v>
      </c>
      <c r="H526" s="26">
        <v>11000</v>
      </c>
      <c r="I526" s="242"/>
    </row>
    <row r="527" spans="1:9" ht="16.5" customHeight="1">
      <c r="A527" s="66"/>
      <c r="B527" s="9"/>
      <c r="C527" s="2">
        <v>4170</v>
      </c>
      <c r="D527" s="169" t="s">
        <v>526</v>
      </c>
      <c r="E527" s="52">
        <v>1000</v>
      </c>
      <c r="F527" s="52"/>
      <c r="G527" s="52">
        <v>1000</v>
      </c>
      <c r="H527" s="26">
        <v>0</v>
      </c>
      <c r="I527" s="242"/>
    </row>
    <row r="528" spans="1:9" ht="16.5" customHeight="1">
      <c r="A528" s="66"/>
      <c r="B528" s="9"/>
      <c r="C528" s="2">
        <v>4210</v>
      </c>
      <c r="D528" s="169" t="s">
        <v>449</v>
      </c>
      <c r="E528" s="52">
        <v>44000</v>
      </c>
      <c r="F528" s="52">
        <v>12000</v>
      </c>
      <c r="G528" s="52">
        <v>30000</v>
      </c>
      <c r="H528" s="26">
        <v>20000</v>
      </c>
      <c r="I528" s="242"/>
    </row>
    <row r="529" spans="1:9" ht="16.5" customHeight="1">
      <c r="A529" s="66"/>
      <c r="B529" s="9"/>
      <c r="C529" s="2">
        <v>4260</v>
      </c>
      <c r="D529" s="169" t="s">
        <v>533</v>
      </c>
      <c r="E529" s="52">
        <v>31500</v>
      </c>
      <c r="F529" s="52"/>
      <c r="G529" s="52">
        <v>20000</v>
      </c>
      <c r="H529" s="26">
        <v>10000</v>
      </c>
      <c r="I529" s="242"/>
    </row>
    <row r="530" spans="1:9" ht="16.5" customHeight="1">
      <c r="A530" s="66"/>
      <c r="B530" s="9"/>
      <c r="C530" s="2">
        <v>4270</v>
      </c>
      <c r="D530" s="169" t="s">
        <v>450</v>
      </c>
      <c r="E530" s="52">
        <v>5000</v>
      </c>
      <c r="F530" s="52"/>
      <c r="G530" s="52">
        <v>4000</v>
      </c>
      <c r="H530" s="26">
        <v>0</v>
      </c>
      <c r="I530" s="242"/>
    </row>
    <row r="531" spans="1:9" ht="16.5" customHeight="1">
      <c r="A531" s="66"/>
      <c r="B531" s="9"/>
      <c r="C531" s="2">
        <v>4300</v>
      </c>
      <c r="D531" s="169" t="s">
        <v>446</v>
      </c>
      <c r="E531" s="52">
        <v>71000</v>
      </c>
      <c r="F531" s="52">
        <v>13000</v>
      </c>
      <c r="G531" s="52">
        <v>47000</v>
      </c>
      <c r="H531" s="26">
        <v>17000</v>
      </c>
      <c r="I531" s="242"/>
    </row>
    <row r="532" spans="1:9" ht="16.5" customHeight="1">
      <c r="A532" s="66"/>
      <c r="B532" s="9"/>
      <c r="C532" s="2">
        <v>4380</v>
      </c>
      <c r="D532" s="169" t="s">
        <v>423</v>
      </c>
      <c r="E532" s="52">
        <v>500</v>
      </c>
      <c r="F532" s="52"/>
      <c r="G532" s="52">
        <v>500</v>
      </c>
      <c r="H532" s="26"/>
      <c r="I532" s="242"/>
    </row>
    <row r="533" spans="1:9" ht="16.5" customHeight="1">
      <c r="A533" s="66"/>
      <c r="B533" s="9"/>
      <c r="C533" s="2">
        <v>4410</v>
      </c>
      <c r="D533" s="169" t="s">
        <v>523</v>
      </c>
      <c r="E533" s="52">
        <v>400</v>
      </c>
      <c r="F533" s="52"/>
      <c r="G533" s="52">
        <v>400</v>
      </c>
      <c r="H533" s="26"/>
      <c r="I533" s="242"/>
    </row>
    <row r="534" spans="1:9" ht="16.5" customHeight="1">
      <c r="A534" s="66"/>
      <c r="B534" s="9"/>
      <c r="C534" s="2">
        <v>4430</v>
      </c>
      <c r="D534" s="169" t="s">
        <v>429</v>
      </c>
      <c r="E534" s="52">
        <v>6000</v>
      </c>
      <c r="F534" s="52"/>
      <c r="G534" s="52">
        <v>5000</v>
      </c>
      <c r="H534" s="26"/>
      <c r="I534" s="242"/>
    </row>
    <row r="535" spans="1:9" ht="23.25" customHeight="1">
      <c r="A535" s="66"/>
      <c r="B535" s="9"/>
      <c r="C535" s="2">
        <v>4440</v>
      </c>
      <c r="D535" s="169" t="s">
        <v>521</v>
      </c>
      <c r="E535" s="52">
        <v>25570</v>
      </c>
      <c r="F535" s="52">
        <v>14000</v>
      </c>
      <c r="G535" s="52">
        <v>26825</v>
      </c>
      <c r="H535" s="26">
        <v>15200</v>
      </c>
      <c r="I535" s="242"/>
    </row>
    <row r="536" spans="1:9" ht="23.25" customHeight="1">
      <c r="A536" s="66"/>
      <c r="B536" s="9"/>
      <c r="C536" s="2">
        <v>4610</v>
      </c>
      <c r="D536" s="169" t="s">
        <v>508</v>
      </c>
      <c r="E536" s="52">
        <v>16500</v>
      </c>
      <c r="F536" s="52"/>
      <c r="G536" s="52">
        <v>5000</v>
      </c>
      <c r="H536" s="26"/>
      <c r="I536" s="242"/>
    </row>
    <row r="537" spans="1:9" ht="23.25" customHeight="1">
      <c r="A537" s="66"/>
      <c r="B537" s="9"/>
      <c r="C537" s="2">
        <v>4700</v>
      </c>
      <c r="D537" s="169" t="s">
        <v>418</v>
      </c>
      <c r="E537" s="52">
        <v>1600</v>
      </c>
      <c r="F537" s="52"/>
      <c r="G537" s="52">
        <v>1600</v>
      </c>
      <c r="H537" s="26"/>
      <c r="I537" s="241"/>
    </row>
    <row r="538" spans="1:9" ht="72.75" customHeight="1">
      <c r="A538" s="66"/>
      <c r="B538" s="24">
        <v>85213</v>
      </c>
      <c r="C538" s="24"/>
      <c r="D538" s="193" t="s">
        <v>267</v>
      </c>
      <c r="E538" s="90">
        <f>E539</f>
        <v>407000</v>
      </c>
      <c r="F538" s="90">
        <f>F539</f>
        <v>200000</v>
      </c>
      <c r="G538" s="90">
        <f>G539</f>
        <v>233472</v>
      </c>
      <c r="H538" s="28">
        <f>H539</f>
        <v>99942</v>
      </c>
      <c r="I538" s="241">
        <f>G538/E538*100</f>
        <v>57.36412776412776</v>
      </c>
    </row>
    <row r="539" spans="1:9" ht="16.5" customHeight="1">
      <c r="A539" s="66"/>
      <c r="B539" s="9"/>
      <c r="C539" s="2">
        <v>4130</v>
      </c>
      <c r="D539" s="169" t="s">
        <v>494</v>
      </c>
      <c r="E539" s="72">
        <v>407000</v>
      </c>
      <c r="F539" s="126">
        <v>200000</v>
      </c>
      <c r="G539" s="72">
        <v>233472</v>
      </c>
      <c r="H539" s="233">
        <v>99942</v>
      </c>
      <c r="I539" s="95"/>
    </row>
    <row r="540" spans="1:9" ht="24" customHeight="1">
      <c r="A540" s="66"/>
      <c r="B540" s="23">
        <v>85214</v>
      </c>
      <c r="C540" s="24"/>
      <c r="D540" s="174" t="s">
        <v>368</v>
      </c>
      <c r="E540" s="90">
        <f>E541</f>
        <v>5920000</v>
      </c>
      <c r="F540" s="52"/>
      <c r="G540" s="90">
        <f>G541</f>
        <v>3498700</v>
      </c>
      <c r="H540" s="26"/>
      <c r="I540" s="95">
        <f>G540/E540*100</f>
        <v>59.09966216216216</v>
      </c>
    </row>
    <row r="541" spans="1:9" ht="16.5" customHeight="1">
      <c r="A541" s="66"/>
      <c r="B541" s="29"/>
      <c r="C541" s="2">
        <v>3110</v>
      </c>
      <c r="D541" s="169" t="s">
        <v>502</v>
      </c>
      <c r="E541" s="87">
        <v>5920000</v>
      </c>
      <c r="F541" s="126"/>
      <c r="G541" s="87">
        <v>3498700</v>
      </c>
      <c r="H541" s="233"/>
      <c r="I541" s="95"/>
    </row>
    <row r="542" spans="1:9" ht="20.25" customHeight="1">
      <c r="A542" s="97"/>
      <c r="B542" s="74">
        <v>85215</v>
      </c>
      <c r="C542" s="24"/>
      <c r="D542" s="174" t="s">
        <v>503</v>
      </c>
      <c r="E542" s="90">
        <f>E543+E544</f>
        <v>3370800</v>
      </c>
      <c r="F542" s="90">
        <f>F543+F544</f>
        <v>64800</v>
      </c>
      <c r="G542" s="90">
        <f>G543+G544</f>
        <v>3306000</v>
      </c>
      <c r="H542" s="28">
        <f>H543+H544</f>
        <v>0</v>
      </c>
      <c r="I542" s="289">
        <f>G542/E542*100</f>
        <v>98.07760768956925</v>
      </c>
    </row>
    <row r="543" spans="1:9" ht="16.5" customHeight="1">
      <c r="A543" s="80"/>
      <c r="B543" s="286"/>
      <c r="C543" s="2">
        <v>3110</v>
      </c>
      <c r="D543" s="169" t="s">
        <v>502</v>
      </c>
      <c r="E543" s="87">
        <f>3351942+16562</f>
        <v>3368504</v>
      </c>
      <c r="F543" s="52">
        <f>46942+16562</f>
        <v>63504</v>
      </c>
      <c r="G543" s="52">
        <v>3305000</v>
      </c>
      <c r="H543" s="26"/>
      <c r="I543" s="289"/>
    </row>
    <row r="544" spans="1:9" ht="16.5" customHeight="1">
      <c r="A544" s="80"/>
      <c r="B544" s="286"/>
      <c r="C544" s="2">
        <v>4300</v>
      </c>
      <c r="D544" s="169" t="s">
        <v>446</v>
      </c>
      <c r="E544" s="52">
        <f>1958+338</f>
        <v>2296</v>
      </c>
      <c r="F544" s="52">
        <f>958+338</f>
        <v>1296</v>
      </c>
      <c r="G544" s="52">
        <v>1000</v>
      </c>
      <c r="H544" s="26"/>
      <c r="I544" s="241"/>
    </row>
    <row r="545" spans="1:9" s="53" customFormat="1" ht="20.25" customHeight="1">
      <c r="A545" s="97"/>
      <c r="B545" s="46">
        <v>85216</v>
      </c>
      <c r="C545" s="24"/>
      <c r="D545" s="174" t="s">
        <v>223</v>
      </c>
      <c r="E545" s="90">
        <f>E546</f>
        <v>2676459</v>
      </c>
      <c r="F545" s="225"/>
      <c r="G545" s="120">
        <f>G546</f>
        <v>1382868</v>
      </c>
      <c r="H545" s="284"/>
      <c r="I545" s="241">
        <f>G545/E545*100</f>
        <v>51.66781930901987</v>
      </c>
    </row>
    <row r="546" spans="1:9" ht="16.5" customHeight="1">
      <c r="A546" s="80"/>
      <c r="B546" s="286"/>
      <c r="C546" s="2">
        <v>3110</v>
      </c>
      <c r="D546" s="169" t="s">
        <v>502</v>
      </c>
      <c r="E546" s="52">
        <v>2676459</v>
      </c>
      <c r="F546" s="126"/>
      <c r="G546" s="52">
        <v>1382868</v>
      </c>
      <c r="H546" s="233"/>
      <c r="I546" s="95"/>
    </row>
    <row r="547" spans="1:9" ht="20.25" customHeight="1">
      <c r="A547" s="80"/>
      <c r="B547" s="27">
        <v>85219</v>
      </c>
      <c r="C547" s="24"/>
      <c r="D547" s="174" t="s">
        <v>369</v>
      </c>
      <c r="E547" s="90">
        <f>SUM(E548:E569)</f>
        <v>6516770</v>
      </c>
      <c r="F547" s="90">
        <f>SUM(F548:F569)</f>
        <v>57650</v>
      </c>
      <c r="G547" s="90">
        <f>SUM(G548:G569)</f>
        <v>6267120</v>
      </c>
      <c r="H547" s="28">
        <f>SUM(H548:H569)</f>
        <v>0</v>
      </c>
      <c r="I547" s="289">
        <f>G547/E547*100</f>
        <v>96.16911445393961</v>
      </c>
    </row>
    <row r="548" spans="1:9" ht="24" customHeight="1">
      <c r="A548" s="80"/>
      <c r="B548" s="13"/>
      <c r="C548" s="8">
        <v>3020</v>
      </c>
      <c r="D548" s="169" t="s">
        <v>324</v>
      </c>
      <c r="E548" s="52">
        <v>26250</v>
      </c>
      <c r="F548" s="126"/>
      <c r="G548" s="52">
        <v>26250</v>
      </c>
      <c r="H548" s="233"/>
      <c r="I548" s="289"/>
    </row>
    <row r="549" spans="1:9" ht="16.5" customHeight="1">
      <c r="A549" s="80"/>
      <c r="B549" s="7"/>
      <c r="C549" s="2">
        <v>3110</v>
      </c>
      <c r="D549" s="169" t="s">
        <v>502</v>
      </c>
      <c r="E549" s="87">
        <v>56850</v>
      </c>
      <c r="F549" s="52">
        <v>56850</v>
      </c>
      <c r="G549" s="87"/>
      <c r="H549" s="26"/>
      <c r="I549" s="242"/>
    </row>
    <row r="550" spans="1:9" ht="16.5" customHeight="1">
      <c r="A550" s="80"/>
      <c r="B550" s="7"/>
      <c r="C550" s="8">
        <v>4010</v>
      </c>
      <c r="D550" s="169" t="s">
        <v>492</v>
      </c>
      <c r="E550" s="87">
        <v>4691815</v>
      </c>
      <c r="F550" s="126"/>
      <c r="G550" s="87">
        <v>4590000</v>
      </c>
      <c r="H550" s="233"/>
      <c r="I550" s="242"/>
    </row>
    <row r="551" spans="1:9" ht="16.5" customHeight="1">
      <c r="A551" s="80"/>
      <c r="B551" s="7"/>
      <c r="C551" s="8">
        <v>4040</v>
      </c>
      <c r="D551" s="169" t="s">
        <v>493</v>
      </c>
      <c r="E551" s="52">
        <v>347000</v>
      </c>
      <c r="F551" s="126"/>
      <c r="G551" s="52">
        <v>310000</v>
      </c>
      <c r="H551" s="233"/>
      <c r="I551" s="242"/>
    </row>
    <row r="552" spans="1:9" ht="16.5" customHeight="1">
      <c r="A552" s="80"/>
      <c r="B552" s="7"/>
      <c r="C552" s="8">
        <v>4110</v>
      </c>
      <c r="D552" s="169" t="s">
        <v>519</v>
      </c>
      <c r="E552" s="52">
        <v>813875</v>
      </c>
      <c r="F552" s="126"/>
      <c r="G552" s="52">
        <v>800000</v>
      </c>
      <c r="H552" s="233"/>
      <c r="I552" s="242"/>
    </row>
    <row r="553" spans="1:9" ht="16.5" customHeight="1">
      <c r="A553" s="80"/>
      <c r="B553" s="7"/>
      <c r="C553" s="8">
        <v>4120</v>
      </c>
      <c r="D553" s="169" t="s">
        <v>520</v>
      </c>
      <c r="E553" s="52">
        <v>80000</v>
      </c>
      <c r="F553" s="126"/>
      <c r="G553" s="52">
        <v>70000</v>
      </c>
      <c r="H553" s="233"/>
      <c r="I553" s="242"/>
    </row>
    <row r="554" spans="1:9" ht="16.5" customHeight="1">
      <c r="A554" s="80"/>
      <c r="B554" s="7"/>
      <c r="C554" s="2">
        <v>4170</v>
      </c>
      <c r="D554" s="169" t="s">
        <v>526</v>
      </c>
      <c r="E554" s="52">
        <v>22500</v>
      </c>
      <c r="F554" s="126"/>
      <c r="G554" s="52">
        <v>21500</v>
      </c>
      <c r="H554" s="233"/>
      <c r="I554" s="242"/>
    </row>
    <row r="555" spans="1:9" ht="16.5" customHeight="1">
      <c r="A555" s="80"/>
      <c r="B555" s="7"/>
      <c r="C555" s="15">
        <v>4210</v>
      </c>
      <c r="D555" s="171" t="s">
        <v>449</v>
      </c>
      <c r="E555" s="52">
        <v>74350</v>
      </c>
      <c r="F555" s="126"/>
      <c r="G555" s="52">
        <v>64000</v>
      </c>
      <c r="H555" s="233"/>
      <c r="I555" s="242"/>
    </row>
    <row r="556" spans="1:9" ht="16.5" customHeight="1">
      <c r="A556" s="80"/>
      <c r="B556" s="7"/>
      <c r="C556" s="8">
        <v>4260</v>
      </c>
      <c r="D556" s="169" t="s">
        <v>533</v>
      </c>
      <c r="E556" s="52">
        <v>70600</v>
      </c>
      <c r="F556" s="126"/>
      <c r="G556" s="52">
        <v>70100</v>
      </c>
      <c r="H556" s="233"/>
      <c r="I556" s="242"/>
    </row>
    <row r="557" spans="1:9" ht="16.5" customHeight="1">
      <c r="A557" s="80"/>
      <c r="B557" s="7"/>
      <c r="C557" s="8">
        <v>4270</v>
      </c>
      <c r="D557" s="169" t="s">
        <v>450</v>
      </c>
      <c r="E557" s="52">
        <v>9000</v>
      </c>
      <c r="F557" s="126"/>
      <c r="G557" s="52">
        <v>9000</v>
      </c>
      <c r="H557" s="233"/>
      <c r="I557" s="242"/>
    </row>
    <row r="558" spans="1:9" ht="16.5" customHeight="1">
      <c r="A558" s="80"/>
      <c r="B558" s="7"/>
      <c r="C558" s="8">
        <v>4280</v>
      </c>
      <c r="D558" s="169" t="s">
        <v>286</v>
      </c>
      <c r="E558" s="52">
        <v>6100</v>
      </c>
      <c r="F558" s="126"/>
      <c r="G558" s="52">
        <v>6100</v>
      </c>
      <c r="H558" s="233"/>
      <c r="I558" s="242"/>
    </row>
    <row r="559" spans="1:9" ht="16.5" customHeight="1">
      <c r="A559" s="80"/>
      <c r="B559" s="7"/>
      <c r="C559" s="8">
        <v>4300</v>
      </c>
      <c r="D559" s="169" t="s">
        <v>446</v>
      </c>
      <c r="E559" s="52">
        <v>98800</v>
      </c>
      <c r="F559" s="52">
        <v>800</v>
      </c>
      <c r="G559" s="52">
        <v>80000</v>
      </c>
      <c r="H559" s="26"/>
      <c r="I559" s="242"/>
    </row>
    <row r="560" spans="1:9" ht="23.25" customHeight="1">
      <c r="A560" s="80"/>
      <c r="B560" s="7"/>
      <c r="C560" s="2">
        <v>4360</v>
      </c>
      <c r="D560" s="169" t="s">
        <v>216</v>
      </c>
      <c r="E560" s="52">
        <v>18860</v>
      </c>
      <c r="F560" s="126"/>
      <c r="G560" s="52">
        <v>26520</v>
      </c>
      <c r="H560" s="233"/>
      <c r="I560" s="242"/>
    </row>
    <row r="561" spans="1:9" ht="16.5" customHeight="1">
      <c r="A561" s="80"/>
      <c r="B561" s="7"/>
      <c r="C561" s="8">
        <v>4410</v>
      </c>
      <c r="D561" s="169" t="s">
        <v>523</v>
      </c>
      <c r="E561" s="52">
        <v>21950</v>
      </c>
      <c r="F561" s="126"/>
      <c r="G561" s="52">
        <v>14000</v>
      </c>
      <c r="H561" s="233"/>
      <c r="I561" s="242"/>
    </row>
    <row r="562" spans="1:9" ht="16.5" customHeight="1">
      <c r="A562" s="80"/>
      <c r="B562" s="7"/>
      <c r="C562" s="2">
        <v>4420</v>
      </c>
      <c r="D562" s="169" t="s">
        <v>530</v>
      </c>
      <c r="E562" s="52">
        <v>550</v>
      </c>
      <c r="F562" s="126"/>
      <c r="G562" s="52">
        <v>550</v>
      </c>
      <c r="H562" s="233"/>
      <c r="I562" s="242"/>
    </row>
    <row r="563" spans="1:9" ht="16.5" customHeight="1">
      <c r="A563" s="80"/>
      <c r="B563" s="7"/>
      <c r="C563" s="8">
        <v>4430</v>
      </c>
      <c r="D563" s="169" t="s">
        <v>429</v>
      </c>
      <c r="E563" s="52">
        <v>15000</v>
      </c>
      <c r="F563" s="126"/>
      <c r="G563" s="52">
        <v>11000</v>
      </c>
      <c r="H563" s="233"/>
      <c r="I563" s="242"/>
    </row>
    <row r="564" spans="1:9" ht="24" customHeight="1">
      <c r="A564" s="80"/>
      <c r="B564" s="7"/>
      <c r="C564" s="8">
        <v>4440</v>
      </c>
      <c r="D564" s="169" t="s">
        <v>521</v>
      </c>
      <c r="E564" s="52">
        <v>132370</v>
      </c>
      <c r="F564" s="126"/>
      <c r="G564" s="52">
        <v>135000</v>
      </c>
      <c r="H564" s="233"/>
      <c r="I564" s="242"/>
    </row>
    <row r="565" spans="1:9" ht="16.5" customHeight="1">
      <c r="A565" s="80"/>
      <c r="B565" s="7"/>
      <c r="C565" s="8">
        <v>4480</v>
      </c>
      <c r="D565" s="169" t="s">
        <v>367</v>
      </c>
      <c r="E565" s="52">
        <v>8000</v>
      </c>
      <c r="F565" s="126"/>
      <c r="G565" s="52">
        <v>6000</v>
      </c>
      <c r="H565" s="233"/>
      <c r="I565" s="242"/>
    </row>
    <row r="566" spans="1:9" ht="16.5" customHeight="1">
      <c r="A566" s="80"/>
      <c r="B566" s="7"/>
      <c r="C566" s="8">
        <v>4510</v>
      </c>
      <c r="D566" s="169" t="s">
        <v>325</v>
      </c>
      <c r="E566" s="52">
        <v>100</v>
      </c>
      <c r="F566" s="126"/>
      <c r="G566" s="52">
        <v>100</v>
      </c>
      <c r="H566" s="233"/>
      <c r="I566" s="242"/>
    </row>
    <row r="567" spans="1:9" ht="23.25" customHeight="1">
      <c r="A567" s="80"/>
      <c r="B567" s="7"/>
      <c r="C567" s="8">
        <v>4520</v>
      </c>
      <c r="D567" s="169" t="s">
        <v>417</v>
      </c>
      <c r="E567" s="52">
        <v>8000</v>
      </c>
      <c r="F567" s="126"/>
      <c r="G567" s="52">
        <v>8000</v>
      </c>
      <c r="H567" s="233"/>
      <c r="I567" s="242"/>
    </row>
    <row r="568" spans="1:9" ht="23.25" customHeight="1">
      <c r="A568" s="80"/>
      <c r="B568" s="7"/>
      <c r="C568" s="8">
        <v>4610</v>
      </c>
      <c r="D568" s="169" t="s">
        <v>508</v>
      </c>
      <c r="E568" s="52">
        <v>6000</v>
      </c>
      <c r="F568" s="126"/>
      <c r="G568" s="52">
        <v>4000</v>
      </c>
      <c r="H568" s="233"/>
      <c r="I568" s="242"/>
    </row>
    <row r="569" spans="1:9" ht="27" customHeight="1">
      <c r="A569" s="80"/>
      <c r="B569" s="7"/>
      <c r="C569" s="8">
        <v>4700</v>
      </c>
      <c r="D569" s="169" t="s">
        <v>418</v>
      </c>
      <c r="E569" s="52">
        <v>8800</v>
      </c>
      <c r="F569" s="126"/>
      <c r="G569" s="52">
        <v>15000</v>
      </c>
      <c r="H569" s="233"/>
      <c r="I569" s="241"/>
    </row>
    <row r="570" spans="1:9" s="53" customFormat="1" ht="34.5" customHeight="1">
      <c r="A570" s="97"/>
      <c r="B570" s="24">
        <v>85220</v>
      </c>
      <c r="C570" s="24"/>
      <c r="D570" s="174" t="s">
        <v>259</v>
      </c>
      <c r="E570" s="90">
        <f>SUM(E571:E577)</f>
        <v>56550</v>
      </c>
      <c r="F570" s="225"/>
      <c r="G570" s="90">
        <f>SUM(G571:G577)</f>
        <v>59920</v>
      </c>
      <c r="H570" s="284"/>
      <c r="I570" s="242">
        <f>G570/E570*100</f>
        <v>105.95932802829356</v>
      </c>
    </row>
    <row r="571" spans="1:9" ht="16.5" customHeight="1">
      <c r="A571" s="80"/>
      <c r="B571" s="7"/>
      <c r="C571" s="15">
        <v>4210</v>
      </c>
      <c r="D571" s="171" t="s">
        <v>449</v>
      </c>
      <c r="E571" s="52">
        <v>750</v>
      </c>
      <c r="F571" s="126"/>
      <c r="G571" s="52">
        <v>750</v>
      </c>
      <c r="H571" s="233"/>
      <c r="I571" s="289"/>
    </row>
    <row r="572" spans="1:9" ht="16.5" customHeight="1">
      <c r="A572" s="80"/>
      <c r="B572" s="7"/>
      <c r="C572" s="8">
        <v>4260</v>
      </c>
      <c r="D572" s="169" t="s">
        <v>533</v>
      </c>
      <c r="E572" s="52">
        <v>23300</v>
      </c>
      <c r="F572" s="126"/>
      <c r="G572" s="52">
        <v>25000</v>
      </c>
      <c r="H572" s="233"/>
      <c r="I572" s="242"/>
    </row>
    <row r="573" spans="1:9" ht="16.5" customHeight="1">
      <c r="A573" s="80"/>
      <c r="B573" s="7"/>
      <c r="C573" s="8">
        <v>4270</v>
      </c>
      <c r="D573" s="169" t="s">
        <v>450</v>
      </c>
      <c r="E573" s="52">
        <v>800</v>
      </c>
      <c r="F573" s="126"/>
      <c r="G573" s="52">
        <v>800</v>
      </c>
      <c r="H573" s="233"/>
      <c r="I573" s="242"/>
    </row>
    <row r="574" spans="1:9" ht="16.5" customHeight="1">
      <c r="A574" s="80"/>
      <c r="B574" s="7"/>
      <c r="C574" s="8">
        <v>4300</v>
      </c>
      <c r="D574" s="169" t="s">
        <v>446</v>
      </c>
      <c r="E574" s="52">
        <v>14100</v>
      </c>
      <c r="F574" s="126"/>
      <c r="G574" s="52">
        <v>15000</v>
      </c>
      <c r="H574" s="233"/>
      <c r="I574" s="242"/>
    </row>
    <row r="575" spans="1:9" ht="24" customHeight="1">
      <c r="A575" s="80"/>
      <c r="B575" s="7"/>
      <c r="C575" s="2">
        <v>4400</v>
      </c>
      <c r="D575" s="169" t="s">
        <v>291</v>
      </c>
      <c r="E575" s="52">
        <v>14300</v>
      </c>
      <c r="F575" s="126"/>
      <c r="G575" s="52">
        <v>15000</v>
      </c>
      <c r="H575" s="233"/>
      <c r="I575" s="242"/>
    </row>
    <row r="576" spans="1:9" ht="16.5" customHeight="1">
      <c r="A576" s="80"/>
      <c r="B576" s="7"/>
      <c r="C576" s="8">
        <v>4480</v>
      </c>
      <c r="D576" s="169" t="s">
        <v>367</v>
      </c>
      <c r="E576" s="52">
        <v>180</v>
      </c>
      <c r="F576" s="126"/>
      <c r="G576" s="52">
        <v>250</v>
      </c>
      <c r="H576" s="233"/>
      <c r="I576" s="242"/>
    </row>
    <row r="577" spans="1:9" ht="24" customHeight="1">
      <c r="A577" s="80"/>
      <c r="B577" s="7"/>
      <c r="C577" s="8">
        <v>4520</v>
      </c>
      <c r="D577" s="169" t="s">
        <v>417</v>
      </c>
      <c r="E577" s="52">
        <v>3120</v>
      </c>
      <c r="F577" s="126"/>
      <c r="G577" s="52">
        <v>3120</v>
      </c>
      <c r="H577" s="233"/>
      <c r="I577" s="241"/>
    </row>
    <row r="578" spans="1:9" ht="24.75" customHeight="1">
      <c r="A578" s="97"/>
      <c r="B578" s="46">
        <v>85228</v>
      </c>
      <c r="C578" s="24" t="s">
        <v>307</v>
      </c>
      <c r="D578" s="174" t="s">
        <v>504</v>
      </c>
      <c r="E578" s="90">
        <f>SUM(E579:E580)</f>
        <v>1493450</v>
      </c>
      <c r="F578" s="90">
        <f>SUM(F579:F580)</f>
        <v>324450</v>
      </c>
      <c r="G578" s="90">
        <f>SUM(G579:G580)</f>
        <v>1226783</v>
      </c>
      <c r="H578" s="28">
        <f>SUM(H579:H580)</f>
        <v>274483</v>
      </c>
      <c r="I578" s="242">
        <f>G578/E578*100</f>
        <v>82.14422980347518</v>
      </c>
    </row>
    <row r="579" spans="1:9" ht="72.75" customHeight="1">
      <c r="A579" s="80"/>
      <c r="B579" s="286"/>
      <c r="C579" s="2">
        <v>2360</v>
      </c>
      <c r="D579" s="169" t="s">
        <v>227</v>
      </c>
      <c r="E579" s="52">
        <v>1142000</v>
      </c>
      <c r="F579" s="126"/>
      <c r="G579" s="52">
        <v>925300</v>
      </c>
      <c r="H579" s="233"/>
      <c r="I579" s="289"/>
    </row>
    <row r="580" spans="1:9" ht="16.5" customHeight="1">
      <c r="A580" s="80"/>
      <c r="B580" s="286"/>
      <c r="C580" s="2">
        <v>4300</v>
      </c>
      <c r="D580" s="169" t="s">
        <v>446</v>
      </c>
      <c r="E580" s="52">
        <v>351450</v>
      </c>
      <c r="F580" s="52">
        <v>324450</v>
      </c>
      <c r="G580" s="52">
        <v>301483</v>
      </c>
      <c r="H580" s="26">
        <v>274483</v>
      </c>
      <c r="I580" s="241"/>
    </row>
    <row r="581" spans="1:9" ht="22.5" customHeight="1">
      <c r="A581" s="80"/>
      <c r="B581" s="24">
        <v>85278</v>
      </c>
      <c r="C581" s="138"/>
      <c r="D581" s="193" t="s">
        <v>160</v>
      </c>
      <c r="E581" s="90">
        <f>E582</f>
        <v>15600</v>
      </c>
      <c r="F581" s="90">
        <f>F582</f>
        <v>15600</v>
      </c>
      <c r="G581" s="90">
        <f>G582</f>
        <v>0</v>
      </c>
      <c r="H581" s="90">
        <f>H582</f>
        <v>0</v>
      </c>
      <c r="I581" s="447"/>
    </row>
    <row r="582" spans="1:9" ht="22.5" customHeight="1">
      <c r="A582" s="80"/>
      <c r="B582" s="9"/>
      <c r="C582" s="2">
        <v>3110</v>
      </c>
      <c r="D582" s="169" t="s">
        <v>502</v>
      </c>
      <c r="E582" s="52">
        <v>15600</v>
      </c>
      <c r="F582" s="177">
        <v>15600</v>
      </c>
      <c r="G582" s="52"/>
      <c r="H582" s="177"/>
      <c r="I582" s="268"/>
    </row>
    <row r="583" spans="1:9" ht="20.25" customHeight="1">
      <c r="A583" s="97" t="s">
        <v>307</v>
      </c>
      <c r="B583" s="74">
        <v>85295</v>
      </c>
      <c r="C583" s="24"/>
      <c r="D583" s="174" t="s">
        <v>343</v>
      </c>
      <c r="E583" s="90">
        <f>SUM(E584:E591)</f>
        <v>4131888.1400000006</v>
      </c>
      <c r="F583" s="90">
        <f>SUM(F584:F591)</f>
        <v>5498</v>
      </c>
      <c r="G583" s="90">
        <f>SUM(G584:G591)</f>
        <v>1407800</v>
      </c>
      <c r="H583" s="90">
        <f>SUM(H584:H591)</f>
        <v>0</v>
      </c>
      <c r="I583" s="289">
        <f>G583/E583*100</f>
        <v>34.07159033109739</v>
      </c>
    </row>
    <row r="584" spans="1:9" ht="60.75" customHeight="1">
      <c r="A584" s="97"/>
      <c r="B584" s="77"/>
      <c r="C584" s="2">
        <v>2360</v>
      </c>
      <c r="D584" s="169" t="s">
        <v>227</v>
      </c>
      <c r="E584" s="52">
        <v>335000</v>
      </c>
      <c r="F584" s="126"/>
      <c r="G584" s="52">
        <f>380000+85000</f>
        <v>465000</v>
      </c>
      <c r="H584" s="233"/>
      <c r="I584" s="289"/>
    </row>
    <row r="585" spans="1:9" ht="16.5" customHeight="1">
      <c r="A585" s="80"/>
      <c r="B585" s="286"/>
      <c r="C585" s="2">
        <v>3110</v>
      </c>
      <c r="D585" s="169" t="s">
        <v>502</v>
      </c>
      <c r="E585" s="52">
        <v>3606090.14</v>
      </c>
      <c r="F585" s="52">
        <v>2700</v>
      </c>
      <c r="G585" s="52">
        <v>754800</v>
      </c>
      <c r="H585" s="26"/>
      <c r="I585" s="242"/>
    </row>
    <row r="586" spans="1:9" ht="16.5" customHeight="1">
      <c r="A586" s="80"/>
      <c r="B586" s="286"/>
      <c r="C586" s="2">
        <v>4010</v>
      </c>
      <c r="D586" s="169" t="s">
        <v>492</v>
      </c>
      <c r="E586" s="52">
        <v>2379.72</v>
      </c>
      <c r="F586" s="52">
        <v>2379.72</v>
      </c>
      <c r="G586" s="52"/>
      <c r="H586" s="26"/>
      <c r="I586" s="242"/>
    </row>
    <row r="587" spans="1:9" ht="16.5" customHeight="1">
      <c r="A587" s="80"/>
      <c r="B587" s="286"/>
      <c r="C587" s="2">
        <v>4110</v>
      </c>
      <c r="D587" s="169" t="s">
        <v>519</v>
      </c>
      <c r="E587" s="52">
        <v>366.1</v>
      </c>
      <c r="F587" s="52">
        <v>366.1</v>
      </c>
      <c r="G587" s="52"/>
      <c r="H587" s="26"/>
      <c r="I587" s="242"/>
    </row>
    <row r="588" spans="1:9" ht="16.5" customHeight="1">
      <c r="A588" s="80"/>
      <c r="B588" s="286"/>
      <c r="C588" s="2">
        <v>4120</v>
      </c>
      <c r="D588" s="169" t="s">
        <v>520</v>
      </c>
      <c r="E588" s="52">
        <v>52.18</v>
      </c>
      <c r="F588" s="52">
        <v>52.18</v>
      </c>
      <c r="G588" s="52"/>
      <c r="H588" s="26"/>
      <c r="I588" s="242"/>
    </row>
    <row r="589" spans="1:9" ht="16.5" customHeight="1">
      <c r="A589" s="80"/>
      <c r="B589" s="286"/>
      <c r="C589" s="2">
        <v>4210</v>
      </c>
      <c r="D589" s="169" t="s">
        <v>445</v>
      </c>
      <c r="E589" s="52">
        <v>11000</v>
      </c>
      <c r="F589" s="52"/>
      <c r="G589" s="52">
        <v>11000</v>
      </c>
      <c r="H589" s="26"/>
      <c r="I589" s="242"/>
    </row>
    <row r="590" spans="1:9" ht="16.5" customHeight="1">
      <c r="A590" s="80"/>
      <c r="B590" s="286"/>
      <c r="C590" s="2">
        <v>4220</v>
      </c>
      <c r="D590" s="169" t="s">
        <v>322</v>
      </c>
      <c r="E590" s="52">
        <v>140000</v>
      </c>
      <c r="F590" s="126"/>
      <c r="G590" s="52">
        <v>140000</v>
      </c>
      <c r="H590" s="233"/>
      <c r="I590" s="242"/>
    </row>
    <row r="591" spans="1:9" ht="16.5" customHeight="1">
      <c r="A591" s="80"/>
      <c r="B591" s="286"/>
      <c r="C591" s="2">
        <v>4300</v>
      </c>
      <c r="D591" s="169" t="s">
        <v>292</v>
      </c>
      <c r="E591" s="52">
        <v>37000</v>
      </c>
      <c r="F591" s="52"/>
      <c r="G591" s="52">
        <v>37000</v>
      </c>
      <c r="H591" s="26"/>
      <c r="I591" s="241"/>
    </row>
    <row r="592" spans="1:9" ht="24" customHeight="1">
      <c r="A592" s="57">
        <v>853</v>
      </c>
      <c r="B592" s="57"/>
      <c r="C592" s="10"/>
      <c r="D592" s="173" t="s">
        <v>439</v>
      </c>
      <c r="E592" s="33">
        <f>E593+E614+E617</f>
        <v>4634730.02</v>
      </c>
      <c r="F592" s="72"/>
      <c r="G592" s="33">
        <f>G593+G614+G617</f>
        <v>2765652</v>
      </c>
      <c r="H592" s="128"/>
      <c r="I592" s="215">
        <f>G592/E592*100</f>
        <v>59.67234311525227</v>
      </c>
    </row>
    <row r="593" spans="1:9" s="53" customFormat="1" ht="20.25" customHeight="1">
      <c r="A593" s="97"/>
      <c r="B593" s="74">
        <v>85305</v>
      </c>
      <c r="C593" s="24"/>
      <c r="D593" s="174" t="s">
        <v>506</v>
      </c>
      <c r="E593" s="38">
        <f>SUM(E594:E613)</f>
        <v>2062392</v>
      </c>
      <c r="F593" s="166"/>
      <c r="G593" s="38">
        <f>SUM(G594:G613)</f>
        <v>1958800</v>
      </c>
      <c r="H593" s="290"/>
      <c r="I593" s="289">
        <f>G593/E593*100</f>
        <v>94.97709455816353</v>
      </c>
    </row>
    <row r="594" spans="1:9" s="53" customFormat="1" ht="49.5" customHeight="1">
      <c r="A594" s="97"/>
      <c r="B594" s="77"/>
      <c r="C594" s="2">
        <v>2830</v>
      </c>
      <c r="D594" s="169" t="s">
        <v>242</v>
      </c>
      <c r="E594" s="41">
        <v>76000</v>
      </c>
      <c r="F594" s="225"/>
      <c r="G594" s="41">
        <v>28800</v>
      </c>
      <c r="H594" s="284"/>
      <c r="I594" s="289"/>
    </row>
    <row r="595" spans="1:9" ht="24" customHeight="1">
      <c r="A595" s="106"/>
      <c r="B595" s="286"/>
      <c r="C595" s="13">
        <v>3020</v>
      </c>
      <c r="D595" s="169" t="s">
        <v>525</v>
      </c>
      <c r="E595" s="52">
        <v>4000</v>
      </c>
      <c r="F595" s="126"/>
      <c r="G595" s="52">
        <v>6200</v>
      </c>
      <c r="H595" s="233"/>
      <c r="I595" s="242"/>
    </row>
    <row r="596" spans="1:9" ht="16.5" customHeight="1">
      <c r="A596" s="106"/>
      <c r="B596" s="286"/>
      <c r="C596" s="2">
        <v>4010</v>
      </c>
      <c r="D596" s="169" t="s">
        <v>492</v>
      </c>
      <c r="E596" s="52">
        <v>1297011</v>
      </c>
      <c r="F596" s="126"/>
      <c r="G596" s="52">
        <v>1263038</v>
      </c>
      <c r="H596" s="233"/>
      <c r="I596" s="242"/>
    </row>
    <row r="597" spans="1:9" ht="16.5" customHeight="1">
      <c r="A597" s="106"/>
      <c r="B597" s="286"/>
      <c r="C597" s="2">
        <v>4040</v>
      </c>
      <c r="D597" s="169" t="s">
        <v>493</v>
      </c>
      <c r="E597" s="52">
        <v>83464</v>
      </c>
      <c r="F597" s="126"/>
      <c r="G597" s="52">
        <v>95800</v>
      </c>
      <c r="H597" s="233"/>
      <c r="I597" s="242"/>
    </row>
    <row r="598" spans="1:9" ht="16.5" customHeight="1">
      <c r="A598" s="106"/>
      <c r="B598" s="286"/>
      <c r="C598" s="2">
        <v>4110</v>
      </c>
      <c r="D598" s="169" t="s">
        <v>519</v>
      </c>
      <c r="E598" s="52">
        <v>216600</v>
      </c>
      <c r="F598" s="126"/>
      <c r="G598" s="52">
        <v>220000</v>
      </c>
      <c r="H598" s="233"/>
      <c r="I598" s="242"/>
    </row>
    <row r="599" spans="1:9" ht="16.5" customHeight="1">
      <c r="A599" s="106"/>
      <c r="B599" s="286"/>
      <c r="C599" s="2">
        <v>4120</v>
      </c>
      <c r="D599" s="169" t="s">
        <v>520</v>
      </c>
      <c r="E599" s="52">
        <v>20500</v>
      </c>
      <c r="F599" s="126"/>
      <c r="G599" s="52">
        <v>21500</v>
      </c>
      <c r="H599" s="233"/>
      <c r="I599" s="242"/>
    </row>
    <row r="600" spans="1:9" ht="16.5" customHeight="1">
      <c r="A600" s="106"/>
      <c r="B600" s="286"/>
      <c r="C600" s="2">
        <v>4210</v>
      </c>
      <c r="D600" s="169" t="s">
        <v>527</v>
      </c>
      <c r="E600" s="52">
        <v>30000</v>
      </c>
      <c r="F600" s="126"/>
      <c r="G600" s="52">
        <v>25000</v>
      </c>
      <c r="H600" s="233"/>
      <c r="I600" s="242"/>
    </row>
    <row r="601" spans="1:9" ht="16.5" customHeight="1">
      <c r="A601" s="106"/>
      <c r="B601" s="286"/>
      <c r="C601" s="2">
        <v>4220</v>
      </c>
      <c r="D601" s="169" t="s">
        <v>322</v>
      </c>
      <c r="E601" s="52">
        <v>107598</v>
      </c>
      <c r="F601" s="126"/>
      <c r="G601" s="52">
        <v>107449</v>
      </c>
      <c r="H601" s="233"/>
      <c r="I601" s="242"/>
    </row>
    <row r="602" spans="1:9" ht="15" customHeight="1">
      <c r="A602" s="106"/>
      <c r="B602" s="286"/>
      <c r="C602" s="2">
        <v>4240</v>
      </c>
      <c r="D602" s="169" t="s">
        <v>405</v>
      </c>
      <c r="E602" s="52">
        <v>2400</v>
      </c>
      <c r="F602" s="126"/>
      <c r="G602" s="52">
        <v>1500</v>
      </c>
      <c r="H602" s="233"/>
      <c r="I602" s="242"/>
    </row>
    <row r="603" spans="1:9" ht="15.75" customHeight="1">
      <c r="A603" s="106"/>
      <c r="B603" s="286"/>
      <c r="C603" s="2">
        <v>4260</v>
      </c>
      <c r="D603" s="169" t="s">
        <v>533</v>
      </c>
      <c r="E603" s="52">
        <v>91375</v>
      </c>
      <c r="F603" s="126"/>
      <c r="G603" s="52">
        <v>94826</v>
      </c>
      <c r="H603" s="233"/>
      <c r="I603" s="242"/>
    </row>
    <row r="604" spans="1:9" ht="15.75" customHeight="1">
      <c r="A604" s="106"/>
      <c r="B604" s="286"/>
      <c r="C604" s="2">
        <v>4270</v>
      </c>
      <c r="D604" s="169" t="s">
        <v>450</v>
      </c>
      <c r="E604" s="52">
        <v>48392</v>
      </c>
      <c r="F604" s="126"/>
      <c r="G604" s="52">
        <v>8500</v>
      </c>
      <c r="H604" s="233"/>
      <c r="I604" s="242"/>
    </row>
    <row r="605" spans="1:9" ht="15.75" customHeight="1">
      <c r="A605" s="106"/>
      <c r="B605" s="286"/>
      <c r="C605" s="2">
        <v>4280</v>
      </c>
      <c r="D605" s="201" t="s">
        <v>286</v>
      </c>
      <c r="E605" s="52">
        <v>745</v>
      </c>
      <c r="F605" s="126"/>
      <c r="G605" s="52">
        <v>745</v>
      </c>
      <c r="H605" s="233"/>
      <c r="I605" s="242"/>
    </row>
    <row r="606" spans="1:9" ht="15.75" customHeight="1">
      <c r="A606" s="106"/>
      <c r="B606" s="286"/>
      <c r="C606" s="2">
        <v>4300</v>
      </c>
      <c r="D606" s="169" t="s">
        <v>489</v>
      </c>
      <c r="E606" s="52">
        <v>25000</v>
      </c>
      <c r="F606" s="126"/>
      <c r="G606" s="52">
        <v>25000</v>
      </c>
      <c r="H606" s="233"/>
      <c r="I606" s="242"/>
    </row>
    <row r="607" spans="1:9" ht="23.25" customHeight="1">
      <c r="A607" s="106"/>
      <c r="B607" s="286"/>
      <c r="C607" s="2">
        <v>4360</v>
      </c>
      <c r="D607" s="169" t="s">
        <v>216</v>
      </c>
      <c r="E607" s="52">
        <v>2710</v>
      </c>
      <c r="F607" s="126"/>
      <c r="G607" s="52">
        <v>3500</v>
      </c>
      <c r="H607" s="233"/>
      <c r="I607" s="242"/>
    </row>
    <row r="608" spans="1:9" ht="15.75" customHeight="1">
      <c r="A608" s="106"/>
      <c r="B608" s="286"/>
      <c r="C608" s="2">
        <v>4410</v>
      </c>
      <c r="D608" s="169" t="s">
        <v>523</v>
      </c>
      <c r="E608" s="52">
        <v>1750</v>
      </c>
      <c r="F608" s="126"/>
      <c r="G608" s="52">
        <v>1750</v>
      </c>
      <c r="H608" s="233"/>
      <c r="I608" s="242"/>
    </row>
    <row r="609" spans="1:9" ht="15.75" customHeight="1">
      <c r="A609" s="106"/>
      <c r="B609" s="286"/>
      <c r="C609" s="2">
        <v>4430</v>
      </c>
      <c r="D609" s="169" t="s">
        <v>429</v>
      </c>
      <c r="E609" s="52">
        <v>1000</v>
      </c>
      <c r="F609" s="126"/>
      <c r="G609" s="52">
        <v>1000</v>
      </c>
      <c r="H609" s="233"/>
      <c r="I609" s="242"/>
    </row>
    <row r="610" spans="1:9" ht="24" customHeight="1">
      <c r="A610" s="106"/>
      <c r="B610" s="286"/>
      <c r="C610" s="2">
        <v>4440</v>
      </c>
      <c r="D610" s="169" t="s">
        <v>521</v>
      </c>
      <c r="E610" s="52">
        <v>42007</v>
      </c>
      <c r="F610" s="126"/>
      <c r="G610" s="52">
        <v>41679</v>
      </c>
      <c r="H610" s="233"/>
      <c r="I610" s="242"/>
    </row>
    <row r="611" spans="1:9" ht="16.5" customHeight="1">
      <c r="A611" s="106"/>
      <c r="B611" s="286"/>
      <c r="C611" s="2">
        <v>4480</v>
      </c>
      <c r="D611" s="169" t="s">
        <v>367</v>
      </c>
      <c r="E611" s="52">
        <v>9159</v>
      </c>
      <c r="F611" s="126"/>
      <c r="G611" s="52">
        <v>9342</v>
      </c>
      <c r="H611" s="233"/>
      <c r="I611" s="242"/>
    </row>
    <row r="612" spans="1:9" ht="24" customHeight="1">
      <c r="A612" s="106"/>
      <c r="B612" s="286"/>
      <c r="C612" s="2">
        <v>4520</v>
      </c>
      <c r="D612" s="169" t="s">
        <v>417</v>
      </c>
      <c r="E612" s="52">
        <v>2281</v>
      </c>
      <c r="F612" s="126"/>
      <c r="G612" s="52">
        <v>2771</v>
      </c>
      <c r="H612" s="233"/>
      <c r="I612" s="242"/>
    </row>
    <row r="613" spans="1:9" ht="24" customHeight="1">
      <c r="A613" s="106"/>
      <c r="B613" s="286"/>
      <c r="C613" s="2">
        <v>4700</v>
      </c>
      <c r="D613" s="169" t="s">
        <v>418</v>
      </c>
      <c r="E613" s="52">
        <v>400</v>
      </c>
      <c r="F613" s="126"/>
      <c r="G613" s="52">
        <v>400</v>
      </c>
      <c r="H613" s="233"/>
      <c r="I613" s="241"/>
    </row>
    <row r="614" spans="1:9" s="53" customFormat="1" ht="20.25" customHeight="1">
      <c r="A614" s="107"/>
      <c r="B614" s="46">
        <v>85306</v>
      </c>
      <c r="C614" s="24"/>
      <c r="D614" s="174" t="s">
        <v>358</v>
      </c>
      <c r="E614" s="38">
        <f>SUM(E615:E616)</f>
        <v>91800</v>
      </c>
      <c r="F614" s="225"/>
      <c r="G614" s="38">
        <f>SUM(G615:G616)</f>
        <v>50400</v>
      </c>
      <c r="H614" s="284"/>
      <c r="I614" s="242">
        <f>G614/E614*100</f>
        <v>54.90196078431373</v>
      </c>
    </row>
    <row r="615" spans="1:9" ht="34.5" customHeight="1">
      <c r="A615" s="106"/>
      <c r="B615" s="286"/>
      <c r="C615" s="2">
        <v>2820</v>
      </c>
      <c r="D615" s="169" t="s">
        <v>500</v>
      </c>
      <c r="E615" s="41">
        <v>72000</v>
      </c>
      <c r="F615" s="126"/>
      <c r="G615" s="41">
        <v>36000</v>
      </c>
      <c r="H615" s="233"/>
      <c r="I615" s="289"/>
    </row>
    <row r="616" spans="1:9" ht="47.25" customHeight="1">
      <c r="A616" s="106"/>
      <c r="B616" s="286"/>
      <c r="C616" s="2">
        <v>2830</v>
      </c>
      <c r="D616" s="169" t="s">
        <v>258</v>
      </c>
      <c r="E616" s="41">
        <v>19800</v>
      </c>
      <c r="F616" s="126"/>
      <c r="G616" s="41">
        <v>14400</v>
      </c>
      <c r="H616" s="233"/>
      <c r="I616" s="241"/>
    </row>
    <row r="617" spans="1:9" s="53" customFormat="1" ht="20.25" customHeight="1">
      <c r="A617" s="107"/>
      <c r="B617" s="46">
        <v>85395</v>
      </c>
      <c r="C617" s="24"/>
      <c r="D617" s="174" t="s">
        <v>535</v>
      </c>
      <c r="E617" s="108">
        <f>SUM(E618:E651)</f>
        <v>2480538.02</v>
      </c>
      <c r="F617" s="225"/>
      <c r="G617" s="108">
        <f>SUM(G618:G651)</f>
        <v>756452</v>
      </c>
      <c r="H617" s="284"/>
      <c r="I617" s="242">
        <f>G617/E617*100</f>
        <v>30.495480976340772</v>
      </c>
    </row>
    <row r="618" spans="1:9" s="53" customFormat="1" ht="66" customHeight="1">
      <c r="A618" s="107"/>
      <c r="B618" s="77"/>
      <c r="C618" s="2">
        <v>2360</v>
      </c>
      <c r="D618" s="169" t="s">
        <v>227</v>
      </c>
      <c r="E618" s="277">
        <v>197500</v>
      </c>
      <c r="F618" s="126"/>
      <c r="G618" s="277">
        <v>54000</v>
      </c>
      <c r="H618" s="233"/>
      <c r="I618" s="289"/>
    </row>
    <row r="619" spans="1:9" ht="35.25" customHeight="1">
      <c r="A619" s="106"/>
      <c r="B619" s="286"/>
      <c r="C619" s="2">
        <v>2827</v>
      </c>
      <c r="D619" s="169" t="s">
        <v>500</v>
      </c>
      <c r="E619" s="63">
        <v>56400.27</v>
      </c>
      <c r="F619" s="126"/>
      <c r="G619" s="63"/>
      <c r="H619" s="233"/>
      <c r="I619" s="242"/>
    </row>
    <row r="620" spans="1:9" ht="36" customHeight="1">
      <c r="A620" s="106"/>
      <c r="B620" s="286"/>
      <c r="C620" s="2">
        <v>2829</v>
      </c>
      <c r="D620" s="169" t="s">
        <v>500</v>
      </c>
      <c r="E620" s="63">
        <v>9953</v>
      </c>
      <c r="F620" s="126"/>
      <c r="G620" s="63"/>
      <c r="H620" s="233"/>
      <c r="I620" s="242"/>
    </row>
    <row r="621" spans="1:9" ht="63.75" customHeight="1">
      <c r="A621" s="106"/>
      <c r="B621" s="286"/>
      <c r="C621" s="2">
        <v>2910</v>
      </c>
      <c r="D621" s="169" t="s">
        <v>461</v>
      </c>
      <c r="E621" s="63">
        <v>5095.55</v>
      </c>
      <c r="F621" s="126"/>
      <c r="G621" s="63"/>
      <c r="H621" s="233"/>
      <c r="I621" s="242"/>
    </row>
    <row r="622" spans="1:9" ht="16.5" customHeight="1">
      <c r="A622" s="106"/>
      <c r="B622" s="286"/>
      <c r="C622" s="2">
        <v>3110</v>
      </c>
      <c r="D622" s="169" t="s">
        <v>502</v>
      </c>
      <c r="E622" s="63">
        <v>22576.87</v>
      </c>
      <c r="F622" s="126"/>
      <c r="G622" s="63">
        <v>22576.87</v>
      </c>
      <c r="H622" s="233"/>
      <c r="I622" s="242"/>
    </row>
    <row r="623" spans="1:9" ht="16.5" customHeight="1">
      <c r="A623" s="106"/>
      <c r="B623" s="286"/>
      <c r="C623" s="2">
        <v>3117</v>
      </c>
      <c r="D623" s="169" t="s">
        <v>502</v>
      </c>
      <c r="E623" s="52">
        <v>535364</v>
      </c>
      <c r="F623" s="126"/>
      <c r="G623" s="52"/>
      <c r="H623" s="233"/>
      <c r="I623" s="242"/>
    </row>
    <row r="624" spans="1:9" ht="16.5" customHeight="1">
      <c r="A624" s="106"/>
      <c r="B624" s="286"/>
      <c r="C624" s="2">
        <v>3119</v>
      </c>
      <c r="D624" s="169" t="s">
        <v>502</v>
      </c>
      <c r="E624" s="52">
        <v>94476</v>
      </c>
      <c r="F624" s="126"/>
      <c r="G624" s="52"/>
      <c r="H624" s="233"/>
      <c r="I624" s="242"/>
    </row>
    <row r="625" spans="1:9" ht="16.5" customHeight="1">
      <c r="A625" s="106"/>
      <c r="B625" s="286"/>
      <c r="C625" s="2">
        <v>4017</v>
      </c>
      <c r="D625" s="169" t="s">
        <v>492</v>
      </c>
      <c r="E625" s="52">
        <v>98254.53</v>
      </c>
      <c r="F625" s="126"/>
      <c r="G625" s="52"/>
      <c r="H625" s="233"/>
      <c r="I625" s="242"/>
    </row>
    <row r="626" spans="1:9" ht="16.5" customHeight="1">
      <c r="A626" s="106"/>
      <c r="B626" s="286"/>
      <c r="C626" s="2">
        <v>4019</v>
      </c>
      <c r="D626" s="169" t="s">
        <v>492</v>
      </c>
      <c r="E626" s="52">
        <v>12002.56</v>
      </c>
      <c r="F626" s="126"/>
      <c r="G626" s="52"/>
      <c r="H626" s="233"/>
      <c r="I626" s="242"/>
    </row>
    <row r="627" spans="1:9" ht="16.5" customHeight="1">
      <c r="A627" s="106"/>
      <c r="B627" s="286"/>
      <c r="C627" s="2">
        <v>4047</v>
      </c>
      <c r="D627" s="169" t="s">
        <v>493</v>
      </c>
      <c r="E627" s="52">
        <v>5660</v>
      </c>
      <c r="F627" s="126"/>
      <c r="G627" s="52"/>
      <c r="H627" s="233"/>
      <c r="I627" s="242"/>
    </row>
    <row r="628" spans="1:9" ht="16.5" customHeight="1">
      <c r="A628" s="106"/>
      <c r="B628" s="286"/>
      <c r="C628" s="2">
        <v>4110</v>
      </c>
      <c r="D628" s="169" t="s">
        <v>519</v>
      </c>
      <c r="E628" s="52">
        <v>6423.13</v>
      </c>
      <c r="F628" s="126"/>
      <c r="G628" s="52">
        <v>6423.13</v>
      </c>
      <c r="H628" s="233"/>
      <c r="I628" s="242"/>
    </row>
    <row r="629" spans="1:9" ht="16.5" customHeight="1">
      <c r="A629" s="106"/>
      <c r="B629" s="286"/>
      <c r="C629" s="2">
        <v>4117</v>
      </c>
      <c r="D629" s="169" t="s">
        <v>519</v>
      </c>
      <c r="E629" s="52">
        <v>170457.04</v>
      </c>
      <c r="F629" s="126"/>
      <c r="G629" s="52"/>
      <c r="H629" s="233"/>
      <c r="I629" s="242"/>
    </row>
    <row r="630" spans="1:9" ht="16.5" customHeight="1">
      <c r="A630" s="106"/>
      <c r="B630" s="286"/>
      <c r="C630" s="2">
        <v>4119</v>
      </c>
      <c r="D630" s="169" t="s">
        <v>519</v>
      </c>
      <c r="E630" s="52">
        <v>28008.34</v>
      </c>
      <c r="F630" s="126"/>
      <c r="G630" s="52"/>
      <c r="H630" s="233"/>
      <c r="I630" s="242"/>
    </row>
    <row r="631" spans="1:9" ht="16.5" customHeight="1">
      <c r="A631" s="106"/>
      <c r="B631" s="286"/>
      <c r="C631" s="2">
        <v>4127</v>
      </c>
      <c r="D631" s="169" t="s">
        <v>520</v>
      </c>
      <c r="E631" s="52">
        <v>3680.93</v>
      </c>
      <c r="F631" s="126"/>
      <c r="G631" s="52"/>
      <c r="H631" s="233"/>
      <c r="I631" s="242"/>
    </row>
    <row r="632" spans="1:9" ht="16.5" customHeight="1">
      <c r="A632" s="106"/>
      <c r="B632" s="286"/>
      <c r="C632" s="2">
        <v>4129</v>
      </c>
      <c r="D632" s="169" t="s">
        <v>520</v>
      </c>
      <c r="E632" s="52">
        <v>306.06</v>
      </c>
      <c r="F632" s="126"/>
      <c r="G632" s="52"/>
      <c r="H632" s="233"/>
      <c r="I632" s="242"/>
    </row>
    <row r="633" spans="1:9" ht="16.5" customHeight="1">
      <c r="A633" s="106"/>
      <c r="B633" s="286"/>
      <c r="C633" s="2">
        <v>4170</v>
      </c>
      <c r="D633" s="169" t="s">
        <v>526</v>
      </c>
      <c r="E633" s="52">
        <v>49768</v>
      </c>
      <c r="F633" s="126"/>
      <c r="G633" s="52">
        <f>122400+100+6000</f>
        <v>128500</v>
      </c>
      <c r="H633" s="233"/>
      <c r="I633" s="242"/>
    </row>
    <row r="634" spans="1:9" ht="16.5" customHeight="1">
      <c r="A634" s="106"/>
      <c r="B634" s="286"/>
      <c r="C634" s="2">
        <v>4177</v>
      </c>
      <c r="D634" s="169" t="s">
        <v>526</v>
      </c>
      <c r="E634" s="52">
        <v>87927.34</v>
      </c>
      <c r="F634" s="126"/>
      <c r="G634" s="52"/>
      <c r="H634" s="233"/>
      <c r="I634" s="242"/>
    </row>
    <row r="635" spans="1:9" ht="16.5" customHeight="1">
      <c r="A635" s="106"/>
      <c r="B635" s="286"/>
      <c r="C635" s="2">
        <v>4179</v>
      </c>
      <c r="D635" s="169" t="s">
        <v>526</v>
      </c>
      <c r="E635" s="52">
        <v>1839</v>
      </c>
      <c r="F635" s="126"/>
      <c r="G635" s="52"/>
      <c r="H635" s="233"/>
      <c r="I635" s="242"/>
    </row>
    <row r="636" spans="1:9" ht="16.5" customHeight="1">
      <c r="A636" s="106"/>
      <c r="B636" s="286"/>
      <c r="C636" s="2">
        <v>4190</v>
      </c>
      <c r="D636" s="169" t="s">
        <v>175</v>
      </c>
      <c r="E636" s="52">
        <v>500</v>
      </c>
      <c r="F636" s="126"/>
      <c r="G636" s="52"/>
      <c r="H636" s="233"/>
      <c r="I636" s="242"/>
    </row>
    <row r="637" spans="1:9" ht="16.5" customHeight="1">
      <c r="A637" s="106"/>
      <c r="B637" s="286"/>
      <c r="C637" s="2">
        <v>4210</v>
      </c>
      <c r="D637" s="169" t="s">
        <v>527</v>
      </c>
      <c r="E637" s="52">
        <v>24346.88</v>
      </c>
      <c r="F637" s="126"/>
      <c r="G637" s="52">
        <f>38000+10532</f>
        <v>48532</v>
      </c>
      <c r="H637" s="233"/>
      <c r="I637" s="242"/>
    </row>
    <row r="638" spans="1:9" ht="16.5" customHeight="1">
      <c r="A638" s="106"/>
      <c r="B638" s="286"/>
      <c r="C638" s="2">
        <v>4217</v>
      </c>
      <c r="D638" s="169" t="s">
        <v>527</v>
      </c>
      <c r="E638" s="52">
        <v>5744.17</v>
      </c>
      <c r="F638" s="126"/>
      <c r="G638" s="52"/>
      <c r="H638" s="233"/>
      <c r="I638" s="242"/>
    </row>
    <row r="639" spans="1:9" ht="16.5" customHeight="1">
      <c r="A639" s="106"/>
      <c r="B639" s="286"/>
      <c r="C639" s="2">
        <v>4219</v>
      </c>
      <c r="D639" s="169" t="s">
        <v>527</v>
      </c>
      <c r="E639" s="52">
        <v>88.5</v>
      </c>
      <c r="F639" s="126"/>
      <c r="G639" s="52"/>
      <c r="H639" s="233"/>
      <c r="I639" s="242"/>
    </row>
    <row r="640" spans="1:9" ht="15" customHeight="1">
      <c r="A640" s="106"/>
      <c r="B640" s="286"/>
      <c r="C640" s="2">
        <v>4247</v>
      </c>
      <c r="D640" s="169" t="s">
        <v>405</v>
      </c>
      <c r="E640" s="52">
        <v>5429.92</v>
      </c>
      <c r="F640" s="126"/>
      <c r="G640" s="52"/>
      <c r="H640" s="233"/>
      <c r="I640" s="242"/>
    </row>
    <row r="641" spans="1:9" ht="16.5" customHeight="1">
      <c r="A641" s="106"/>
      <c r="B641" s="286"/>
      <c r="C641" s="2">
        <v>4287</v>
      </c>
      <c r="D641" s="169" t="s">
        <v>286</v>
      </c>
      <c r="E641" s="52">
        <v>338.3</v>
      </c>
      <c r="F641" s="126"/>
      <c r="G641" s="52"/>
      <c r="H641" s="233"/>
      <c r="I641" s="242"/>
    </row>
    <row r="642" spans="1:9" ht="16.5" customHeight="1">
      <c r="A642" s="106"/>
      <c r="B642" s="286"/>
      <c r="C642" s="2">
        <v>4289</v>
      </c>
      <c r="D642" s="169" t="s">
        <v>286</v>
      </c>
      <c r="E642" s="52">
        <v>59.7</v>
      </c>
      <c r="F642" s="126"/>
      <c r="G642" s="52"/>
      <c r="H642" s="233"/>
      <c r="I642" s="242"/>
    </row>
    <row r="643" spans="1:9" ht="16.5" customHeight="1">
      <c r="A643" s="106"/>
      <c r="B643" s="286"/>
      <c r="C643" s="2">
        <v>4300</v>
      </c>
      <c r="D643" s="169" t="s">
        <v>428</v>
      </c>
      <c r="E643" s="52">
        <v>441291.07</v>
      </c>
      <c r="F643" s="126"/>
      <c r="G643" s="52">
        <f>5000+21220+209600</f>
        <v>235820</v>
      </c>
      <c r="H643" s="233"/>
      <c r="I643" s="242"/>
    </row>
    <row r="644" spans="1:9" ht="16.5" customHeight="1">
      <c r="A644" s="106"/>
      <c r="B644" s="286"/>
      <c r="C644" s="2">
        <v>4307</v>
      </c>
      <c r="D644" s="169" t="s">
        <v>292</v>
      </c>
      <c r="E644" s="52">
        <v>242348.62</v>
      </c>
      <c r="F644" s="126"/>
      <c r="G644" s="52"/>
      <c r="H644" s="233"/>
      <c r="I644" s="242"/>
    </row>
    <row r="645" spans="1:9" ht="16.5" customHeight="1">
      <c r="A645" s="106"/>
      <c r="B645" s="286"/>
      <c r="C645" s="2">
        <v>4309</v>
      </c>
      <c r="D645" s="169" t="s">
        <v>292</v>
      </c>
      <c r="E645" s="52">
        <v>31186.79</v>
      </c>
      <c r="F645" s="126"/>
      <c r="G645" s="52"/>
      <c r="H645" s="233"/>
      <c r="I645" s="242"/>
    </row>
    <row r="646" spans="1:9" ht="24" customHeight="1">
      <c r="A646" s="106"/>
      <c r="B646" s="286"/>
      <c r="C646" s="2">
        <v>4367</v>
      </c>
      <c r="D646" s="169" t="s">
        <v>216</v>
      </c>
      <c r="E646" s="52">
        <v>1500</v>
      </c>
      <c r="F646" s="126"/>
      <c r="G646" s="52"/>
      <c r="H646" s="233"/>
      <c r="I646" s="242"/>
    </row>
    <row r="647" spans="1:9" ht="15.75" customHeight="1">
      <c r="A647" s="106"/>
      <c r="B647" s="286"/>
      <c r="C647" s="2">
        <v>4417</v>
      </c>
      <c r="D647" s="169" t="s">
        <v>523</v>
      </c>
      <c r="E647" s="52">
        <v>1428</v>
      </c>
      <c r="F647" s="126"/>
      <c r="G647" s="52"/>
      <c r="H647" s="233"/>
      <c r="I647" s="242"/>
    </row>
    <row r="648" spans="1:9" ht="15.75" customHeight="1">
      <c r="A648" s="106"/>
      <c r="B648" s="286"/>
      <c r="C648" s="2">
        <v>4430</v>
      </c>
      <c r="D648" s="169" t="s">
        <v>429</v>
      </c>
      <c r="E648" s="52">
        <v>9200</v>
      </c>
      <c r="F648" s="126"/>
      <c r="G648" s="52">
        <f>10200+400</f>
        <v>10600</v>
      </c>
      <c r="H648" s="233"/>
      <c r="I648" s="242"/>
    </row>
    <row r="649" spans="1:9" ht="63" customHeight="1">
      <c r="A649" s="106"/>
      <c r="B649" s="286"/>
      <c r="C649" s="2">
        <v>4560</v>
      </c>
      <c r="D649" s="169" t="s">
        <v>460</v>
      </c>
      <c r="E649" s="52">
        <v>381.45</v>
      </c>
      <c r="F649" s="126"/>
      <c r="G649" s="52"/>
      <c r="H649" s="233"/>
      <c r="I649" s="242"/>
    </row>
    <row r="650" spans="1:9" ht="46.5" customHeight="1">
      <c r="A650" s="106"/>
      <c r="B650" s="286"/>
      <c r="C650" s="2">
        <v>6010</v>
      </c>
      <c r="D650" s="171" t="s">
        <v>481</v>
      </c>
      <c r="E650" s="52">
        <v>251002</v>
      </c>
      <c r="F650" s="126"/>
      <c r="G650" s="52">
        <v>250000</v>
      </c>
      <c r="H650" s="233"/>
      <c r="I650" s="242"/>
    </row>
    <row r="651" spans="1:9" ht="24.75" customHeight="1">
      <c r="A651" s="106"/>
      <c r="B651" s="286"/>
      <c r="C651" s="2">
        <v>6050</v>
      </c>
      <c r="D651" s="169" t="s">
        <v>507</v>
      </c>
      <c r="E651" s="52">
        <v>80000</v>
      </c>
      <c r="F651" s="126"/>
      <c r="G651" s="52"/>
      <c r="H651" s="233"/>
      <c r="I651" s="241"/>
    </row>
    <row r="652" spans="1:9" ht="24" customHeight="1">
      <c r="A652" s="42">
        <v>854</v>
      </c>
      <c r="B652" s="11"/>
      <c r="C652" s="10"/>
      <c r="D652" s="173" t="s">
        <v>370</v>
      </c>
      <c r="E652" s="33">
        <f>E653+E671+E676+E681</f>
        <v>3182591.55</v>
      </c>
      <c r="F652" s="52"/>
      <c r="G652" s="33">
        <f>G653+G671+G676+G681</f>
        <v>2226580</v>
      </c>
      <c r="H652" s="26"/>
      <c r="I652" s="215">
        <f>G652/E652*100</f>
        <v>69.96122389629295</v>
      </c>
    </row>
    <row r="653" spans="1:9" ht="20.25" customHeight="1">
      <c r="A653" s="43"/>
      <c r="B653" s="23">
        <v>85401</v>
      </c>
      <c r="C653" s="24"/>
      <c r="D653" s="174" t="s">
        <v>329</v>
      </c>
      <c r="E653" s="90">
        <f>SUM(E654:E670)</f>
        <v>2067454</v>
      </c>
      <c r="F653" s="72"/>
      <c r="G653" s="90">
        <f>SUM(G654:G670)</f>
        <v>2163772</v>
      </c>
      <c r="H653" s="128"/>
      <c r="I653" s="289">
        <f>G653/E653*100</f>
        <v>104.65877354465927</v>
      </c>
    </row>
    <row r="654" spans="1:9" ht="25.5" customHeight="1">
      <c r="A654" s="44"/>
      <c r="B654" s="9"/>
      <c r="C654" s="2">
        <v>3020</v>
      </c>
      <c r="D654" s="169" t="s">
        <v>284</v>
      </c>
      <c r="E654" s="87">
        <v>3219</v>
      </c>
      <c r="F654" s="126"/>
      <c r="G654" s="87">
        <v>3100</v>
      </c>
      <c r="H654" s="233"/>
      <c r="I654" s="289"/>
    </row>
    <row r="655" spans="1:9" ht="16.5" customHeight="1">
      <c r="A655" s="44"/>
      <c r="B655" s="9"/>
      <c r="C655" s="2">
        <v>4010</v>
      </c>
      <c r="D655" s="169" t="s">
        <v>492</v>
      </c>
      <c r="E655" s="52">
        <v>1490782</v>
      </c>
      <c r="F655" s="126"/>
      <c r="G655" s="52">
        <v>1545235</v>
      </c>
      <c r="H655" s="233"/>
      <c r="I655" s="242"/>
    </row>
    <row r="656" spans="1:9" ht="16.5" customHeight="1">
      <c r="A656" s="44"/>
      <c r="B656" s="9"/>
      <c r="C656" s="2">
        <v>4040</v>
      </c>
      <c r="D656" s="169" t="s">
        <v>493</v>
      </c>
      <c r="E656" s="52">
        <v>92337</v>
      </c>
      <c r="F656" s="126"/>
      <c r="G656" s="52">
        <v>121850</v>
      </c>
      <c r="H656" s="233"/>
      <c r="I656" s="242"/>
    </row>
    <row r="657" spans="1:9" ht="16.5" customHeight="1">
      <c r="A657" s="44"/>
      <c r="B657" s="9"/>
      <c r="C657" s="2">
        <v>4110</v>
      </c>
      <c r="D657" s="169" t="s">
        <v>519</v>
      </c>
      <c r="E657" s="52">
        <v>258474</v>
      </c>
      <c r="F657" s="126"/>
      <c r="G657" s="52">
        <v>282999</v>
      </c>
      <c r="H657" s="233"/>
      <c r="I657" s="242"/>
    </row>
    <row r="658" spans="1:9" ht="16.5" customHeight="1">
      <c r="A658" s="44"/>
      <c r="B658" s="9"/>
      <c r="C658" s="2">
        <v>4120</v>
      </c>
      <c r="D658" s="169" t="s">
        <v>520</v>
      </c>
      <c r="E658" s="52">
        <v>34913</v>
      </c>
      <c r="F658" s="126"/>
      <c r="G658" s="52">
        <v>40467</v>
      </c>
      <c r="H658" s="233"/>
      <c r="I658" s="242"/>
    </row>
    <row r="659" spans="1:9" ht="16.5" customHeight="1">
      <c r="A659" s="44"/>
      <c r="B659" s="9"/>
      <c r="C659" s="13">
        <v>4170</v>
      </c>
      <c r="D659" s="169" t="s">
        <v>526</v>
      </c>
      <c r="E659" s="52">
        <v>100</v>
      </c>
      <c r="F659" s="126"/>
      <c r="G659" s="52">
        <v>100</v>
      </c>
      <c r="H659" s="233"/>
      <c r="I659" s="242"/>
    </row>
    <row r="660" spans="1:9" ht="16.5" customHeight="1">
      <c r="A660" s="44"/>
      <c r="B660" s="9"/>
      <c r="C660" s="13">
        <v>4210</v>
      </c>
      <c r="D660" s="169" t="s">
        <v>527</v>
      </c>
      <c r="E660" s="52">
        <v>15710</v>
      </c>
      <c r="F660" s="126"/>
      <c r="G660" s="52">
        <v>17650</v>
      </c>
      <c r="H660" s="233"/>
      <c r="I660" s="242"/>
    </row>
    <row r="661" spans="1:9" ht="17.25" customHeight="1">
      <c r="A661" s="44"/>
      <c r="B661" s="9"/>
      <c r="C661" s="2">
        <v>4240</v>
      </c>
      <c r="D661" s="169" t="s">
        <v>405</v>
      </c>
      <c r="E661" s="52">
        <v>6200</v>
      </c>
      <c r="F661" s="126"/>
      <c r="G661" s="52">
        <v>4100</v>
      </c>
      <c r="H661" s="233"/>
      <c r="I661" s="242"/>
    </row>
    <row r="662" spans="1:9" ht="16.5" customHeight="1">
      <c r="A662" s="44"/>
      <c r="B662" s="9"/>
      <c r="C662" s="2">
        <v>4260</v>
      </c>
      <c r="D662" s="169" t="s">
        <v>533</v>
      </c>
      <c r="E662" s="52">
        <v>39245</v>
      </c>
      <c r="F662" s="126"/>
      <c r="G662" s="52">
        <v>30500</v>
      </c>
      <c r="H662" s="233"/>
      <c r="I662" s="242"/>
    </row>
    <row r="663" spans="1:9" ht="16.5" customHeight="1">
      <c r="A663" s="44"/>
      <c r="B663" s="9"/>
      <c r="C663" s="2">
        <v>4270</v>
      </c>
      <c r="D663" s="169" t="s">
        <v>450</v>
      </c>
      <c r="E663" s="52">
        <v>16000</v>
      </c>
      <c r="F663" s="126"/>
      <c r="G663" s="52">
        <v>1000</v>
      </c>
      <c r="H663" s="233"/>
      <c r="I663" s="242"/>
    </row>
    <row r="664" spans="1:9" ht="16.5" customHeight="1">
      <c r="A664" s="44"/>
      <c r="B664" s="9"/>
      <c r="C664" s="2">
        <v>4280</v>
      </c>
      <c r="D664" s="169" t="s">
        <v>286</v>
      </c>
      <c r="E664" s="52">
        <v>1510</v>
      </c>
      <c r="F664" s="126"/>
      <c r="G664" s="52">
        <v>2220</v>
      </c>
      <c r="H664" s="233"/>
      <c r="I664" s="242"/>
    </row>
    <row r="665" spans="1:9" ht="16.5" customHeight="1">
      <c r="A665" s="44"/>
      <c r="B665" s="9"/>
      <c r="C665" s="2">
        <v>4300</v>
      </c>
      <c r="D665" s="169" t="s">
        <v>292</v>
      </c>
      <c r="E665" s="52">
        <v>1630</v>
      </c>
      <c r="F665" s="126"/>
      <c r="G665" s="52">
        <v>3890</v>
      </c>
      <c r="H665" s="233"/>
      <c r="I665" s="242"/>
    </row>
    <row r="666" spans="1:9" ht="16.5" customHeight="1">
      <c r="A666" s="44"/>
      <c r="B666" s="9"/>
      <c r="C666" s="2">
        <v>4410</v>
      </c>
      <c r="D666" s="169" t="s">
        <v>523</v>
      </c>
      <c r="E666" s="52">
        <v>400</v>
      </c>
      <c r="F666" s="126"/>
      <c r="G666" s="52"/>
      <c r="H666" s="233"/>
      <c r="I666" s="242"/>
    </row>
    <row r="667" spans="1:9" ht="16.5" customHeight="1">
      <c r="A667" s="44"/>
      <c r="B667" s="9"/>
      <c r="C667" s="2">
        <v>4430</v>
      </c>
      <c r="D667" s="169" t="s">
        <v>429</v>
      </c>
      <c r="E667" s="52">
        <v>0</v>
      </c>
      <c r="F667" s="126"/>
      <c r="G667" s="52"/>
      <c r="H667" s="233"/>
      <c r="I667" s="242"/>
    </row>
    <row r="668" spans="1:9" ht="24" customHeight="1">
      <c r="A668" s="44"/>
      <c r="B668" s="9"/>
      <c r="C668" s="2">
        <v>4440</v>
      </c>
      <c r="D668" s="169" t="s">
        <v>521</v>
      </c>
      <c r="E668" s="52">
        <v>106509</v>
      </c>
      <c r="F668" s="126"/>
      <c r="G668" s="52">
        <v>110411</v>
      </c>
      <c r="H668" s="233"/>
      <c r="I668" s="242"/>
    </row>
    <row r="669" spans="1:9" ht="24" customHeight="1">
      <c r="A669" s="44"/>
      <c r="B669" s="9"/>
      <c r="C669" s="13">
        <v>4520</v>
      </c>
      <c r="D669" s="169" t="s">
        <v>417</v>
      </c>
      <c r="E669" s="72">
        <v>25</v>
      </c>
      <c r="F669" s="126"/>
      <c r="G669" s="72">
        <v>100</v>
      </c>
      <c r="H669" s="233"/>
      <c r="I669" s="242"/>
    </row>
    <row r="670" spans="1:9" ht="24" customHeight="1">
      <c r="A670" s="44"/>
      <c r="B670" s="9"/>
      <c r="C670" s="13">
        <v>4700</v>
      </c>
      <c r="D670" s="169" t="s">
        <v>418</v>
      </c>
      <c r="E670" s="72">
        <v>400</v>
      </c>
      <c r="F670" s="126"/>
      <c r="G670" s="72">
        <v>150</v>
      </c>
      <c r="H670" s="233"/>
      <c r="I670" s="241"/>
    </row>
    <row r="671" spans="1:9" ht="37.5" customHeight="1">
      <c r="A671" s="44"/>
      <c r="B671" s="24">
        <v>85412</v>
      </c>
      <c r="C671" s="24"/>
      <c r="D671" s="174" t="s">
        <v>338</v>
      </c>
      <c r="E671" s="121">
        <f>SUM(E672:E675)</f>
        <v>7146</v>
      </c>
      <c r="F671" s="225"/>
      <c r="G671" s="121">
        <f>SUM(G672:G675)</f>
        <v>0</v>
      </c>
      <c r="H671" s="233"/>
      <c r="I671" s="242"/>
    </row>
    <row r="672" spans="1:9" ht="16.5" customHeight="1">
      <c r="A672" s="44"/>
      <c r="B672" s="9"/>
      <c r="C672" s="2">
        <v>4010</v>
      </c>
      <c r="D672" s="169" t="s">
        <v>492</v>
      </c>
      <c r="E672" s="86">
        <v>3462</v>
      </c>
      <c r="F672" s="126"/>
      <c r="G672" s="86"/>
      <c r="H672" s="233"/>
      <c r="I672" s="289"/>
    </row>
    <row r="673" spans="1:9" ht="16.5" customHeight="1">
      <c r="A673" s="44"/>
      <c r="B673" s="9"/>
      <c r="C673" s="2">
        <v>4110</v>
      </c>
      <c r="D673" s="169" t="s">
        <v>519</v>
      </c>
      <c r="E673" s="86">
        <v>597</v>
      </c>
      <c r="F673" s="126"/>
      <c r="G673" s="86"/>
      <c r="H673" s="233"/>
      <c r="I673" s="242"/>
    </row>
    <row r="674" spans="1:9" ht="16.5" customHeight="1">
      <c r="A674" s="44"/>
      <c r="B674" s="9"/>
      <c r="C674" s="2">
        <v>4120</v>
      </c>
      <c r="D674" s="169" t="s">
        <v>520</v>
      </c>
      <c r="E674" s="86">
        <v>87</v>
      </c>
      <c r="F674" s="126"/>
      <c r="G674" s="86"/>
      <c r="H674" s="233"/>
      <c r="I674" s="242"/>
    </row>
    <row r="675" spans="1:9" ht="16.5" customHeight="1">
      <c r="A675" s="44"/>
      <c r="B675" s="9"/>
      <c r="C675" s="2">
        <v>4300</v>
      </c>
      <c r="D675" s="169" t="s">
        <v>292</v>
      </c>
      <c r="E675" s="86">
        <v>3000</v>
      </c>
      <c r="F675" s="126"/>
      <c r="G675" s="86"/>
      <c r="H675" s="233"/>
      <c r="I675" s="241"/>
    </row>
    <row r="676" spans="1:9" ht="20.25" customHeight="1">
      <c r="A676" s="44"/>
      <c r="B676" s="24">
        <v>85415</v>
      </c>
      <c r="C676" s="8"/>
      <c r="D676" s="174" t="s">
        <v>228</v>
      </c>
      <c r="E676" s="38">
        <f>SUM(E677:E680)</f>
        <v>1096525.55</v>
      </c>
      <c r="F676" s="126"/>
      <c r="G676" s="38">
        <f>SUM(G677:G680)</f>
        <v>50000</v>
      </c>
      <c r="H676" s="233"/>
      <c r="I676" s="241">
        <f>G676/E676*100</f>
        <v>4.559857269171703</v>
      </c>
    </row>
    <row r="677" spans="1:9" ht="60" customHeight="1">
      <c r="A677" s="45"/>
      <c r="B677" s="7"/>
      <c r="C677" s="8">
        <v>2910</v>
      </c>
      <c r="D677" s="169" t="s">
        <v>461</v>
      </c>
      <c r="E677" s="88">
        <v>21645.55</v>
      </c>
      <c r="F677" s="126"/>
      <c r="G677" s="88"/>
      <c r="H677" s="233"/>
      <c r="I677" s="95"/>
    </row>
    <row r="678" spans="1:9" ht="15.75" customHeight="1">
      <c r="A678" s="45"/>
      <c r="B678" s="32"/>
      <c r="C678" s="8">
        <v>3240</v>
      </c>
      <c r="D678" s="169" t="s">
        <v>330</v>
      </c>
      <c r="E678" s="87">
        <v>921000</v>
      </c>
      <c r="F678" s="126"/>
      <c r="G678" s="87">
        <v>50000</v>
      </c>
      <c r="H678" s="233"/>
      <c r="I678" s="95">
        <f>G678/E678*100</f>
        <v>5.428881650380022</v>
      </c>
    </row>
    <row r="679" spans="1:9" ht="15.75" customHeight="1">
      <c r="A679" s="45"/>
      <c r="B679" s="32"/>
      <c r="C679" s="8">
        <v>3260</v>
      </c>
      <c r="D679" s="169" t="s">
        <v>177</v>
      </c>
      <c r="E679" s="88">
        <v>152217</v>
      </c>
      <c r="F679" s="126"/>
      <c r="G679" s="88"/>
      <c r="H679" s="233"/>
      <c r="I679" s="95"/>
    </row>
    <row r="680" spans="1:9" ht="63" customHeight="1">
      <c r="A680" s="45"/>
      <c r="B680" s="32"/>
      <c r="C680" s="8">
        <v>4560</v>
      </c>
      <c r="D680" s="169" t="s">
        <v>406</v>
      </c>
      <c r="E680" s="88">
        <v>1663</v>
      </c>
      <c r="F680" s="126"/>
      <c r="G680" s="88"/>
      <c r="H680" s="233"/>
      <c r="I680" s="95"/>
    </row>
    <row r="681" spans="1:9" s="53" customFormat="1" ht="20.25" customHeight="1">
      <c r="A681" s="47"/>
      <c r="B681" s="24">
        <v>85446</v>
      </c>
      <c r="C681" s="23"/>
      <c r="D681" s="174" t="s">
        <v>257</v>
      </c>
      <c r="E681" s="38">
        <f>SUM(E682:E684)</f>
        <v>11466</v>
      </c>
      <c r="F681" s="225"/>
      <c r="G681" s="38">
        <f>SUM(G682:G684)</f>
        <v>12808</v>
      </c>
      <c r="H681" s="284"/>
      <c r="I681" s="95">
        <f>G681/E681*100</f>
        <v>111.70416884702598</v>
      </c>
    </row>
    <row r="682" spans="1:9" s="53" customFormat="1" ht="17.25" customHeight="1">
      <c r="A682" s="291"/>
      <c r="B682" s="32"/>
      <c r="C682" s="2">
        <v>4300</v>
      </c>
      <c r="D682" s="169" t="s">
        <v>292</v>
      </c>
      <c r="E682" s="41"/>
      <c r="F682" s="126"/>
      <c r="G682" s="41">
        <v>1000</v>
      </c>
      <c r="H682" s="284"/>
      <c r="I682" s="95"/>
    </row>
    <row r="683" spans="1:9" ht="15.75" customHeight="1">
      <c r="A683" s="45"/>
      <c r="B683" s="7"/>
      <c r="C683" s="8">
        <v>4410</v>
      </c>
      <c r="D683" s="169" t="s">
        <v>523</v>
      </c>
      <c r="E683" s="52">
        <v>664</v>
      </c>
      <c r="F683" s="126"/>
      <c r="G683" s="52">
        <v>576</v>
      </c>
      <c r="H683" s="233"/>
      <c r="I683" s="95">
        <f>G683/E683*100</f>
        <v>86.74698795180723</v>
      </c>
    </row>
    <row r="684" spans="1:9" ht="23.25" customHeight="1">
      <c r="A684" s="45"/>
      <c r="B684" s="32"/>
      <c r="C684" s="8">
        <v>4700</v>
      </c>
      <c r="D684" s="169" t="s">
        <v>418</v>
      </c>
      <c r="E684" s="72">
        <v>10802</v>
      </c>
      <c r="F684" s="87"/>
      <c r="G684" s="72">
        <v>11232</v>
      </c>
      <c r="H684" s="127"/>
      <c r="I684" s="95">
        <f>G684/E684*100</f>
        <v>103.98074430660988</v>
      </c>
    </row>
    <row r="685" spans="1:9" ht="23.25" customHeight="1">
      <c r="A685" s="60">
        <v>900</v>
      </c>
      <c r="B685" s="57"/>
      <c r="C685" s="10"/>
      <c r="D685" s="173" t="s">
        <v>351</v>
      </c>
      <c r="E685" s="33">
        <f>E686+E698+E701+E707+E713+E720</f>
        <v>50070673.449999996</v>
      </c>
      <c r="F685" s="52"/>
      <c r="G685" s="33">
        <f>G686+G698+G701+G707+G713+G720</f>
        <v>24165095.21</v>
      </c>
      <c r="H685" s="26"/>
      <c r="I685" s="131">
        <f>G685/E685*100</f>
        <v>48.26197361641439</v>
      </c>
    </row>
    <row r="686" spans="1:9" s="114" customFormat="1" ht="20.25" customHeight="1">
      <c r="A686" s="47"/>
      <c r="B686" s="31">
        <v>90002</v>
      </c>
      <c r="C686" s="24"/>
      <c r="D686" s="174" t="s">
        <v>121</v>
      </c>
      <c r="E686" s="118">
        <f>SUM(E687:E697)</f>
        <v>12042000</v>
      </c>
      <c r="F686" s="225"/>
      <c r="G686" s="118">
        <f>SUM(G687:G697)</f>
        <v>12042000</v>
      </c>
      <c r="H686" s="284"/>
      <c r="I686" s="289">
        <f>G686/E686*100</f>
        <v>100</v>
      </c>
    </row>
    <row r="687" spans="1:9" s="114" customFormat="1" ht="16.5" customHeight="1">
      <c r="A687" s="291"/>
      <c r="B687" s="31"/>
      <c r="C687" s="8">
        <v>4010</v>
      </c>
      <c r="D687" s="169" t="s">
        <v>492</v>
      </c>
      <c r="E687" s="26">
        <v>219600</v>
      </c>
      <c r="F687" s="126"/>
      <c r="G687" s="26">
        <f>952+244050</f>
        <v>245002</v>
      </c>
      <c r="H687" s="233"/>
      <c r="I687" s="289"/>
    </row>
    <row r="688" spans="1:9" s="114" customFormat="1" ht="16.5" customHeight="1">
      <c r="A688" s="291"/>
      <c r="B688" s="32"/>
      <c r="C688" s="2">
        <v>4040</v>
      </c>
      <c r="D688" s="169" t="s">
        <v>493</v>
      </c>
      <c r="E688" s="26"/>
      <c r="F688" s="126"/>
      <c r="G688" s="26">
        <v>19000</v>
      </c>
      <c r="H688" s="233"/>
      <c r="I688" s="242"/>
    </row>
    <row r="689" spans="1:9" s="114" customFormat="1" ht="16.5" customHeight="1">
      <c r="A689" s="291"/>
      <c r="B689" s="32"/>
      <c r="C689" s="8">
        <v>4110</v>
      </c>
      <c r="D689" s="169" t="s">
        <v>519</v>
      </c>
      <c r="E689" s="26">
        <v>37600</v>
      </c>
      <c r="F689" s="126"/>
      <c r="G689" s="26">
        <v>44540</v>
      </c>
      <c r="H689" s="233"/>
      <c r="I689" s="242"/>
    </row>
    <row r="690" spans="1:9" s="114" customFormat="1" ht="16.5" customHeight="1">
      <c r="A690" s="291"/>
      <c r="B690" s="32"/>
      <c r="C690" s="8">
        <v>4120</v>
      </c>
      <c r="D690" s="169" t="s">
        <v>520</v>
      </c>
      <c r="E690" s="26">
        <v>4000</v>
      </c>
      <c r="F690" s="126"/>
      <c r="G690" s="26">
        <v>6300</v>
      </c>
      <c r="H690" s="233"/>
      <c r="I690" s="242"/>
    </row>
    <row r="691" spans="1:9" s="114" customFormat="1" ht="16.5" customHeight="1">
      <c r="A691" s="291"/>
      <c r="B691" s="32"/>
      <c r="C691" s="8">
        <v>4210</v>
      </c>
      <c r="D691" s="169" t="s">
        <v>527</v>
      </c>
      <c r="E691" s="26">
        <v>185000</v>
      </c>
      <c r="F691" s="126"/>
      <c r="G691" s="26">
        <f>8000+4000</f>
        <v>12000</v>
      </c>
      <c r="H691" s="233"/>
      <c r="I691" s="242"/>
    </row>
    <row r="692" spans="1:9" s="114" customFormat="1" ht="16.5" customHeight="1">
      <c r="A692" s="291"/>
      <c r="B692" s="32"/>
      <c r="C692" s="2">
        <v>4260</v>
      </c>
      <c r="D692" s="169" t="s">
        <v>533</v>
      </c>
      <c r="E692" s="26"/>
      <c r="F692" s="126"/>
      <c r="G692" s="26">
        <v>4500</v>
      </c>
      <c r="H692" s="233"/>
      <c r="I692" s="242"/>
    </row>
    <row r="693" spans="1:9" ht="16.5" customHeight="1">
      <c r="A693" s="156"/>
      <c r="B693" s="61"/>
      <c r="C693" s="8">
        <v>4300</v>
      </c>
      <c r="D693" s="169" t="s">
        <v>446</v>
      </c>
      <c r="E693" s="52">
        <v>11550000</v>
      </c>
      <c r="F693" s="126"/>
      <c r="G693" s="52">
        <f>67000+11400000+189000</f>
        <v>11656000</v>
      </c>
      <c r="H693" s="233"/>
      <c r="I693" s="242"/>
    </row>
    <row r="694" spans="1:9" ht="22.5" customHeight="1">
      <c r="A694" s="156"/>
      <c r="B694" s="61"/>
      <c r="C694" s="2">
        <v>4440</v>
      </c>
      <c r="D694" s="169" t="s">
        <v>521</v>
      </c>
      <c r="E694" s="52"/>
      <c r="F694" s="126"/>
      <c r="G694" s="52">
        <v>8658</v>
      </c>
      <c r="H694" s="233"/>
      <c r="I694" s="242"/>
    </row>
    <row r="695" spans="1:9" ht="23.25" customHeight="1">
      <c r="A695" s="156"/>
      <c r="B695" s="61"/>
      <c r="C695" s="8">
        <v>4700</v>
      </c>
      <c r="D695" s="169" t="s">
        <v>418</v>
      </c>
      <c r="E695" s="52">
        <v>3800</v>
      </c>
      <c r="F695" s="126"/>
      <c r="G695" s="52">
        <v>4000</v>
      </c>
      <c r="H695" s="233"/>
      <c r="I695" s="242"/>
    </row>
    <row r="696" spans="1:9" ht="55.5" customHeight="1">
      <c r="A696" s="156"/>
      <c r="B696" s="61"/>
      <c r="C696" s="8">
        <v>6220</v>
      </c>
      <c r="D696" s="171" t="s">
        <v>430</v>
      </c>
      <c r="E696" s="52">
        <v>12000</v>
      </c>
      <c r="F696" s="126"/>
      <c r="G696" s="52">
        <v>12000</v>
      </c>
      <c r="H696" s="233"/>
      <c r="I696" s="242"/>
    </row>
    <row r="697" spans="1:9" ht="58.5" customHeight="1">
      <c r="A697" s="156"/>
      <c r="B697" s="68"/>
      <c r="C697" s="15">
        <v>6230</v>
      </c>
      <c r="D697" s="171" t="s">
        <v>248</v>
      </c>
      <c r="E697" s="52">
        <v>30000</v>
      </c>
      <c r="F697" s="126"/>
      <c r="G697" s="52">
        <v>30000</v>
      </c>
      <c r="H697" s="233"/>
      <c r="I697" s="241"/>
    </row>
    <row r="698" spans="1:9" ht="20.25" customHeight="1">
      <c r="A698" s="107"/>
      <c r="B698" s="76">
        <v>90003</v>
      </c>
      <c r="C698" s="24"/>
      <c r="D698" s="174" t="s">
        <v>454</v>
      </c>
      <c r="E698" s="90">
        <f>SUM(E699:E700)</f>
        <v>1222697</v>
      </c>
      <c r="F698" s="126"/>
      <c r="G698" s="90">
        <f>SUM(G699:G700)</f>
        <v>1209196.21</v>
      </c>
      <c r="H698" s="233"/>
      <c r="I698" s="242">
        <f>G698/E698*100</f>
        <v>98.89581883328412</v>
      </c>
    </row>
    <row r="699" spans="1:9" ht="15.75" customHeight="1">
      <c r="A699" s="107"/>
      <c r="B699" s="77"/>
      <c r="C699" s="13">
        <v>4210</v>
      </c>
      <c r="D699" s="171" t="s">
        <v>449</v>
      </c>
      <c r="E699" s="87">
        <v>26720</v>
      </c>
      <c r="F699" s="126"/>
      <c r="G699" s="87">
        <v>24446.25</v>
      </c>
      <c r="H699" s="233"/>
      <c r="I699" s="289"/>
    </row>
    <row r="700" spans="1:9" ht="15.75" customHeight="1">
      <c r="A700" s="106"/>
      <c r="B700" s="286"/>
      <c r="C700" s="2">
        <v>4300</v>
      </c>
      <c r="D700" s="169" t="s">
        <v>446</v>
      </c>
      <c r="E700" s="87">
        <v>1195977</v>
      </c>
      <c r="F700" s="126"/>
      <c r="G700" s="87">
        <v>1184749.96</v>
      </c>
      <c r="H700" s="233"/>
      <c r="I700" s="241"/>
    </row>
    <row r="701" spans="1:9" s="114" customFormat="1" ht="20.25" customHeight="1">
      <c r="A701" s="47"/>
      <c r="B701" s="24">
        <v>90004</v>
      </c>
      <c r="C701" s="24"/>
      <c r="D701" s="174" t="s">
        <v>122</v>
      </c>
      <c r="E701" s="149">
        <f>SUM(E702:E706)</f>
        <v>2310696</v>
      </c>
      <c r="F701" s="225"/>
      <c r="G701" s="149">
        <f>SUM(G702:G706)</f>
        <v>2211000</v>
      </c>
      <c r="H701" s="284"/>
      <c r="I701" s="242">
        <f>G701/E701*100</f>
        <v>95.68545581071677</v>
      </c>
    </row>
    <row r="702" spans="1:9" ht="16.5" customHeight="1">
      <c r="A702" s="106"/>
      <c r="B702" s="286"/>
      <c r="C702" s="2">
        <v>3050</v>
      </c>
      <c r="D702" s="169" t="s">
        <v>285</v>
      </c>
      <c r="E702" s="87">
        <v>6000</v>
      </c>
      <c r="F702" s="126"/>
      <c r="G702" s="87">
        <v>6000</v>
      </c>
      <c r="H702" s="233"/>
      <c r="I702" s="289"/>
    </row>
    <row r="703" spans="1:9" ht="16.5" customHeight="1">
      <c r="A703" s="106"/>
      <c r="B703" s="286"/>
      <c r="C703" s="13">
        <v>4170</v>
      </c>
      <c r="D703" s="169" t="s">
        <v>526</v>
      </c>
      <c r="E703" s="87">
        <v>1260</v>
      </c>
      <c r="F703" s="126"/>
      <c r="G703" s="87">
        <v>0</v>
      </c>
      <c r="H703" s="233"/>
      <c r="I703" s="242"/>
    </row>
    <row r="704" spans="1:9" ht="16.5" customHeight="1">
      <c r="A704" s="106"/>
      <c r="B704" s="286"/>
      <c r="C704" s="13">
        <v>4210</v>
      </c>
      <c r="D704" s="169" t="s">
        <v>527</v>
      </c>
      <c r="E704" s="87">
        <v>17220</v>
      </c>
      <c r="F704" s="126"/>
      <c r="G704" s="87">
        <v>0</v>
      </c>
      <c r="H704" s="233"/>
      <c r="I704" s="242"/>
    </row>
    <row r="705" spans="1:9" ht="16.5" customHeight="1">
      <c r="A705" s="106"/>
      <c r="B705" s="286"/>
      <c r="C705" s="13">
        <v>4270</v>
      </c>
      <c r="D705" s="169" t="s">
        <v>450</v>
      </c>
      <c r="E705" s="87">
        <v>120000</v>
      </c>
      <c r="F705" s="126"/>
      <c r="G705" s="87">
        <v>0</v>
      </c>
      <c r="H705" s="233"/>
      <c r="I705" s="242"/>
    </row>
    <row r="706" spans="1:9" ht="16.5" customHeight="1">
      <c r="A706" s="106"/>
      <c r="B706" s="286"/>
      <c r="C706" s="2">
        <v>4300</v>
      </c>
      <c r="D706" s="169" t="s">
        <v>446</v>
      </c>
      <c r="E706" s="87">
        <v>2166216</v>
      </c>
      <c r="F706" s="126"/>
      <c r="G706" s="87">
        <f>5000+2200000</f>
        <v>2205000</v>
      </c>
      <c r="H706" s="233"/>
      <c r="I706" s="241"/>
    </row>
    <row r="707" spans="1:9" ht="20.25" customHeight="1">
      <c r="A707" s="107"/>
      <c r="B707" s="74">
        <v>90013</v>
      </c>
      <c r="C707" s="24"/>
      <c r="D707" s="174" t="s">
        <v>455</v>
      </c>
      <c r="E707" s="38">
        <f>SUM(E708:E712)</f>
        <v>475465</v>
      </c>
      <c r="F707" s="126"/>
      <c r="G707" s="38">
        <f>SUM(G708:G712)</f>
        <v>329000</v>
      </c>
      <c r="H707" s="233"/>
      <c r="I707" s="242">
        <f>G707/E707*100</f>
        <v>69.19541922118347</v>
      </c>
    </row>
    <row r="708" spans="1:9" ht="66" customHeight="1">
      <c r="A708" s="106"/>
      <c r="B708" s="286"/>
      <c r="C708" s="2">
        <v>2360</v>
      </c>
      <c r="D708" s="169" t="s">
        <v>227</v>
      </c>
      <c r="E708" s="52">
        <v>282000</v>
      </c>
      <c r="F708" s="126"/>
      <c r="G708" s="52">
        <v>287000</v>
      </c>
      <c r="H708" s="233"/>
      <c r="I708" s="289"/>
    </row>
    <row r="709" spans="1:9" ht="17.25" customHeight="1">
      <c r="A709" s="106"/>
      <c r="B709" s="286"/>
      <c r="C709" s="13">
        <v>4210</v>
      </c>
      <c r="D709" s="169" t="s">
        <v>527</v>
      </c>
      <c r="E709" s="52">
        <v>28965</v>
      </c>
      <c r="F709" s="126"/>
      <c r="G709" s="52"/>
      <c r="H709" s="233"/>
      <c r="I709" s="242"/>
    </row>
    <row r="710" spans="1:9" ht="17.25" customHeight="1">
      <c r="A710" s="106"/>
      <c r="B710" s="286"/>
      <c r="C710" s="13">
        <v>4270</v>
      </c>
      <c r="D710" s="169" t="s">
        <v>450</v>
      </c>
      <c r="E710" s="126">
        <v>61844</v>
      </c>
      <c r="F710" s="126"/>
      <c r="G710" s="126"/>
      <c r="H710" s="233"/>
      <c r="I710" s="242"/>
    </row>
    <row r="711" spans="1:9" ht="17.25" customHeight="1">
      <c r="A711" s="106"/>
      <c r="B711" s="286"/>
      <c r="C711" s="2">
        <v>4300</v>
      </c>
      <c r="D711" s="169" t="s">
        <v>446</v>
      </c>
      <c r="E711" s="52">
        <v>45000</v>
      </c>
      <c r="F711" s="126"/>
      <c r="G711" s="52">
        <v>42000</v>
      </c>
      <c r="H711" s="233"/>
      <c r="I711" s="242"/>
    </row>
    <row r="712" spans="1:9" ht="17.25" customHeight="1">
      <c r="A712" s="106"/>
      <c r="B712" s="286"/>
      <c r="C712" s="2">
        <v>6050</v>
      </c>
      <c r="D712" s="169" t="s">
        <v>507</v>
      </c>
      <c r="E712" s="52">
        <v>57656</v>
      </c>
      <c r="F712" s="126"/>
      <c r="G712" s="52"/>
      <c r="H712" s="233"/>
      <c r="I712" s="241"/>
    </row>
    <row r="713" spans="1:9" ht="20.25" customHeight="1">
      <c r="A713" s="107"/>
      <c r="B713" s="74">
        <v>90015</v>
      </c>
      <c r="C713" s="24"/>
      <c r="D713" s="174" t="s">
        <v>243</v>
      </c>
      <c r="E713" s="90">
        <f>SUM(E714:E719)</f>
        <v>5176496</v>
      </c>
      <c r="F713" s="126"/>
      <c r="G713" s="90">
        <f>SUM(G714:G719)</f>
        <v>5012000</v>
      </c>
      <c r="H713" s="233"/>
      <c r="I713" s="242">
        <f>G713/E713*100</f>
        <v>96.82225196349036</v>
      </c>
    </row>
    <row r="714" spans="1:9" ht="15.75" customHeight="1">
      <c r="A714" s="107"/>
      <c r="B714" s="77"/>
      <c r="C714" s="2">
        <v>4210</v>
      </c>
      <c r="D714" s="169" t="s">
        <v>449</v>
      </c>
      <c r="E714" s="87">
        <v>1000</v>
      </c>
      <c r="F714" s="126"/>
      <c r="G714" s="87">
        <v>1000</v>
      </c>
      <c r="H714" s="233"/>
      <c r="I714" s="289"/>
    </row>
    <row r="715" spans="1:9" ht="15.75" customHeight="1">
      <c r="A715" s="106"/>
      <c r="B715" s="286"/>
      <c r="C715" s="2">
        <v>4260</v>
      </c>
      <c r="D715" s="169" t="s">
        <v>533</v>
      </c>
      <c r="E715" s="87">
        <v>3783666</v>
      </c>
      <c r="F715" s="126"/>
      <c r="G715" s="87">
        <v>3360000</v>
      </c>
      <c r="H715" s="233"/>
      <c r="I715" s="242"/>
    </row>
    <row r="716" spans="1:9" ht="15.75" customHeight="1">
      <c r="A716" s="106"/>
      <c r="B716" s="286"/>
      <c r="C716" s="2">
        <v>4300</v>
      </c>
      <c r="D716" s="169" t="s">
        <v>446</v>
      </c>
      <c r="E716" s="52">
        <v>1364330</v>
      </c>
      <c r="F716" s="126"/>
      <c r="G716" s="52">
        <v>1650000</v>
      </c>
      <c r="H716" s="233"/>
      <c r="I716" s="242"/>
    </row>
    <row r="717" spans="1:9" ht="23.25" customHeight="1">
      <c r="A717" s="106"/>
      <c r="B717" s="286"/>
      <c r="C717" s="2">
        <v>4390</v>
      </c>
      <c r="D717" s="169" t="s">
        <v>354</v>
      </c>
      <c r="E717" s="72">
        <v>1000</v>
      </c>
      <c r="F717" s="126"/>
      <c r="G717" s="72">
        <v>1000</v>
      </c>
      <c r="H717" s="233"/>
      <c r="I717" s="242"/>
    </row>
    <row r="718" spans="1:9" ht="16.5" customHeight="1">
      <c r="A718" s="106"/>
      <c r="B718" s="286"/>
      <c r="C718" s="2">
        <v>4430</v>
      </c>
      <c r="D718" s="169" t="s">
        <v>429</v>
      </c>
      <c r="E718" s="72">
        <v>6500</v>
      </c>
      <c r="F718" s="126"/>
      <c r="G718" s="72">
        <v>0</v>
      </c>
      <c r="H718" s="233"/>
      <c r="I718" s="242"/>
    </row>
    <row r="719" spans="1:9" ht="16.5" customHeight="1">
      <c r="A719" s="106"/>
      <c r="B719" s="286"/>
      <c r="C719" s="2">
        <v>6050</v>
      </c>
      <c r="D719" s="169" t="s">
        <v>507</v>
      </c>
      <c r="E719" s="72">
        <v>20000</v>
      </c>
      <c r="F719" s="126"/>
      <c r="G719" s="72">
        <v>0</v>
      </c>
      <c r="H719" s="233"/>
      <c r="I719" s="241"/>
    </row>
    <row r="720" spans="1:9" ht="20.25" customHeight="1">
      <c r="A720" s="107"/>
      <c r="B720" s="46">
        <v>90095</v>
      </c>
      <c r="C720" s="24"/>
      <c r="D720" s="174" t="s">
        <v>244</v>
      </c>
      <c r="E720" s="90">
        <f>SUM(E721:E736)</f>
        <v>28843319.449999996</v>
      </c>
      <c r="F720" s="126"/>
      <c r="G720" s="90">
        <f>SUM(G721:G736)</f>
        <v>3361899</v>
      </c>
      <c r="H720" s="233"/>
      <c r="I720" s="242">
        <f>G720/E720*100</f>
        <v>11.655728481001864</v>
      </c>
    </row>
    <row r="721" spans="1:9" ht="15.75" customHeight="1">
      <c r="A721" s="109"/>
      <c r="B721" s="80"/>
      <c r="C721" s="2">
        <v>4170</v>
      </c>
      <c r="D721" s="169" t="s">
        <v>526</v>
      </c>
      <c r="E721" s="87">
        <v>4000</v>
      </c>
      <c r="F721" s="126"/>
      <c r="G721" s="87">
        <v>4000</v>
      </c>
      <c r="H721" s="233"/>
      <c r="I721" s="289"/>
    </row>
    <row r="722" spans="1:9" ht="15.75" customHeight="1">
      <c r="A722" s="109"/>
      <c r="B722" s="80"/>
      <c r="C722" s="8">
        <v>4210</v>
      </c>
      <c r="D722" s="169" t="s">
        <v>449</v>
      </c>
      <c r="E722" s="52">
        <v>81410</v>
      </c>
      <c r="F722" s="126"/>
      <c r="G722" s="52">
        <f>90000+12500+4000+20000+8740+29900</f>
        <v>165140</v>
      </c>
      <c r="H722" s="233"/>
      <c r="I722" s="242"/>
    </row>
    <row r="723" spans="1:9" ht="18.75" customHeight="1">
      <c r="A723" s="109"/>
      <c r="B723" s="80"/>
      <c r="C723" s="8">
        <v>4240</v>
      </c>
      <c r="D723" s="169" t="s">
        <v>405</v>
      </c>
      <c r="E723" s="52">
        <v>33000</v>
      </c>
      <c r="F723" s="126"/>
      <c r="G723" s="52">
        <v>10000</v>
      </c>
      <c r="H723" s="233"/>
      <c r="I723" s="242"/>
    </row>
    <row r="724" spans="1:9" ht="16.5" customHeight="1">
      <c r="A724" s="109"/>
      <c r="B724" s="80"/>
      <c r="C724" s="8">
        <v>4260</v>
      </c>
      <c r="D724" s="169" t="s">
        <v>533</v>
      </c>
      <c r="E724" s="52">
        <v>230239</v>
      </c>
      <c r="F724" s="126"/>
      <c r="G724" s="52">
        <v>230000</v>
      </c>
      <c r="H724" s="233"/>
      <c r="I724" s="242"/>
    </row>
    <row r="725" spans="1:9" ht="16.5" customHeight="1">
      <c r="A725" s="109"/>
      <c r="B725" s="80"/>
      <c r="C725" s="8">
        <v>4270</v>
      </c>
      <c r="D725" s="169" t="s">
        <v>450</v>
      </c>
      <c r="E725" s="52">
        <v>178084.39</v>
      </c>
      <c r="F725" s="126"/>
      <c r="G725" s="52">
        <f>30000+300000</f>
        <v>330000</v>
      </c>
      <c r="H725" s="233"/>
      <c r="I725" s="242"/>
    </row>
    <row r="726" spans="1:9" ht="16.5" customHeight="1">
      <c r="A726" s="109"/>
      <c r="B726" s="80"/>
      <c r="C726" s="8">
        <v>4300</v>
      </c>
      <c r="D726" s="169" t="s">
        <v>428</v>
      </c>
      <c r="E726" s="52">
        <v>928026.56</v>
      </c>
      <c r="F726" s="126"/>
      <c r="G726" s="52">
        <f>315000+36100+490000+1000+77000+2000+29990</f>
        <v>951090</v>
      </c>
      <c r="H726" s="233"/>
      <c r="I726" s="242"/>
    </row>
    <row r="727" spans="1:9" ht="16.5" customHeight="1">
      <c r="A727" s="109"/>
      <c r="B727" s="80"/>
      <c r="C727" s="8">
        <v>4307</v>
      </c>
      <c r="D727" s="169" t="s">
        <v>428</v>
      </c>
      <c r="E727" s="52">
        <v>32664.65</v>
      </c>
      <c r="F727" s="126"/>
      <c r="G727" s="52"/>
      <c r="H727" s="233"/>
      <c r="I727" s="242"/>
    </row>
    <row r="728" spans="1:9" ht="16.5" customHeight="1">
      <c r="A728" s="109"/>
      <c r="B728" s="80"/>
      <c r="C728" s="8">
        <v>4309</v>
      </c>
      <c r="D728" s="169" t="s">
        <v>428</v>
      </c>
      <c r="E728" s="52">
        <v>5764.35</v>
      </c>
      <c r="F728" s="126"/>
      <c r="G728" s="52"/>
      <c r="H728" s="233"/>
      <c r="I728" s="242"/>
    </row>
    <row r="729" spans="1:9" ht="24" customHeight="1">
      <c r="A729" s="109"/>
      <c r="B729" s="80"/>
      <c r="C729" s="8">
        <v>4390</v>
      </c>
      <c r="D729" s="169" t="s">
        <v>354</v>
      </c>
      <c r="E729" s="52">
        <v>14649.5</v>
      </c>
      <c r="F729" s="126"/>
      <c r="G729" s="52">
        <f>5000+10000</f>
        <v>15000</v>
      </c>
      <c r="H729" s="233"/>
      <c r="I729" s="242"/>
    </row>
    <row r="730" spans="1:9" ht="16.5" customHeight="1">
      <c r="A730" s="109"/>
      <c r="B730" s="80"/>
      <c r="C730" s="8">
        <v>4430</v>
      </c>
      <c r="D730" s="169" t="s">
        <v>429</v>
      </c>
      <c r="E730" s="52">
        <v>136000</v>
      </c>
      <c r="F730" s="126"/>
      <c r="G730" s="52">
        <f>120000+9000</f>
        <v>129000</v>
      </c>
      <c r="H730" s="233"/>
      <c r="I730" s="242"/>
    </row>
    <row r="731" spans="1:9" ht="23.25" customHeight="1">
      <c r="A731" s="109"/>
      <c r="B731" s="80"/>
      <c r="C731" s="15">
        <v>4610</v>
      </c>
      <c r="D731" s="171" t="s">
        <v>508</v>
      </c>
      <c r="E731" s="72">
        <v>15250</v>
      </c>
      <c r="F731" s="126"/>
      <c r="G731" s="72"/>
      <c r="H731" s="233"/>
      <c r="I731" s="242"/>
    </row>
    <row r="732" spans="1:9" ht="48.75" customHeight="1">
      <c r="A732" s="109"/>
      <c r="B732" s="80"/>
      <c r="C732" s="15">
        <v>6010</v>
      </c>
      <c r="D732" s="171" t="s">
        <v>481</v>
      </c>
      <c r="E732" s="72">
        <v>4292252.66</v>
      </c>
      <c r="F732" s="126"/>
      <c r="G732" s="72">
        <f>30000+190000+366000+19600</f>
        <v>605600</v>
      </c>
      <c r="H732" s="233"/>
      <c r="I732" s="242"/>
    </row>
    <row r="733" spans="1:9" ht="16.5" customHeight="1">
      <c r="A733" s="109"/>
      <c r="B733" s="80"/>
      <c r="C733" s="15">
        <v>6050</v>
      </c>
      <c r="D733" s="171" t="s">
        <v>507</v>
      </c>
      <c r="E733" s="72">
        <v>4257723.54</v>
      </c>
      <c r="F733" s="126"/>
      <c r="G733" s="72">
        <f>25000+24090+29990+92989+200000</f>
        <v>372069</v>
      </c>
      <c r="H733" s="233"/>
      <c r="I733" s="242"/>
    </row>
    <row r="734" spans="2:9" s="161" customFormat="1" ht="16.5" customHeight="1">
      <c r="B734" s="292"/>
      <c r="C734" s="2">
        <v>6057</v>
      </c>
      <c r="D734" s="171" t="s">
        <v>507</v>
      </c>
      <c r="E734" s="52">
        <v>12377540.54</v>
      </c>
      <c r="F734" s="293"/>
      <c r="G734" s="52"/>
      <c r="H734" s="294"/>
      <c r="I734" s="242"/>
    </row>
    <row r="735" spans="1:9" ht="16.5" customHeight="1">
      <c r="A735" s="109"/>
      <c r="B735" s="80"/>
      <c r="C735" s="15">
        <v>6059</v>
      </c>
      <c r="D735" s="171" t="s">
        <v>507</v>
      </c>
      <c r="E735" s="72">
        <v>5586714.26</v>
      </c>
      <c r="F735" s="126"/>
      <c r="G735" s="72"/>
      <c r="H735" s="233"/>
      <c r="I735" s="242"/>
    </row>
    <row r="736" spans="1:9" ht="63.75" customHeight="1">
      <c r="A736" s="109"/>
      <c r="B736" s="85"/>
      <c r="C736" s="15">
        <v>6230</v>
      </c>
      <c r="D736" s="171" t="s">
        <v>248</v>
      </c>
      <c r="E736" s="72">
        <v>670000</v>
      </c>
      <c r="F736" s="126"/>
      <c r="G736" s="72">
        <f>50000+500000</f>
        <v>550000</v>
      </c>
      <c r="H736" s="233"/>
      <c r="I736" s="241"/>
    </row>
    <row r="737" spans="1:9" ht="23.25" customHeight="1">
      <c r="A737" s="60">
        <v>921</v>
      </c>
      <c r="B737" s="57"/>
      <c r="C737" s="10"/>
      <c r="D737" s="173" t="s">
        <v>246</v>
      </c>
      <c r="E737" s="33">
        <f>E738+E742+E745</f>
        <v>6869181</v>
      </c>
      <c r="F737" s="72"/>
      <c r="G737" s="33">
        <f>G738+G742+G745</f>
        <v>5323970</v>
      </c>
      <c r="H737" s="128"/>
      <c r="I737" s="438">
        <f>G737/E737*100</f>
        <v>77.50516400717932</v>
      </c>
    </row>
    <row r="738" spans="1:9" ht="20.25" customHeight="1">
      <c r="A738" s="110"/>
      <c r="B738" s="74">
        <v>92109</v>
      </c>
      <c r="C738" s="24"/>
      <c r="D738" s="174" t="s">
        <v>431</v>
      </c>
      <c r="E738" s="90">
        <f>SUM(E739:E741)</f>
        <v>5744000</v>
      </c>
      <c r="F738" s="72"/>
      <c r="G738" s="90">
        <f>SUM(G739:G741)</f>
        <v>5009670</v>
      </c>
      <c r="H738" s="128"/>
      <c r="I738" s="289"/>
    </row>
    <row r="739" spans="1:9" ht="23.25" customHeight="1">
      <c r="A739" s="106"/>
      <c r="B739" s="286"/>
      <c r="C739" s="2">
        <v>2480</v>
      </c>
      <c r="D739" s="169" t="s">
        <v>249</v>
      </c>
      <c r="E739" s="52">
        <v>4890000</v>
      </c>
      <c r="F739" s="126"/>
      <c r="G739" s="52">
        <f>3500000+1390000</f>
        <v>4890000</v>
      </c>
      <c r="H739" s="233"/>
      <c r="I739" s="242"/>
    </row>
    <row r="740" spans="1:9" ht="16.5" customHeight="1">
      <c r="A740" s="106"/>
      <c r="B740" s="286"/>
      <c r="C740" s="2">
        <v>6050</v>
      </c>
      <c r="D740" s="171" t="s">
        <v>507</v>
      </c>
      <c r="E740" s="52">
        <v>854000</v>
      </c>
      <c r="F740" s="126"/>
      <c r="G740" s="52">
        <v>26000</v>
      </c>
      <c r="H740" s="233"/>
      <c r="I740" s="242"/>
    </row>
    <row r="741" spans="1:9" ht="54" customHeight="1">
      <c r="A741" s="106"/>
      <c r="B741" s="286"/>
      <c r="C741" s="2">
        <v>6220</v>
      </c>
      <c r="D741" s="171" t="s">
        <v>392</v>
      </c>
      <c r="E741" s="52"/>
      <c r="F741" s="126"/>
      <c r="G741" s="52">
        <v>93670</v>
      </c>
      <c r="H741" s="233"/>
      <c r="I741" s="241"/>
    </row>
    <row r="742" spans="1:9" ht="20.25" customHeight="1">
      <c r="A742" s="106"/>
      <c r="B742" s="96">
        <v>92120</v>
      </c>
      <c r="C742" s="24"/>
      <c r="D742" s="174" t="s">
        <v>250</v>
      </c>
      <c r="E742" s="90">
        <f>SUM(E743:E744)</f>
        <v>70500</v>
      </c>
      <c r="F742" s="126"/>
      <c r="G742" s="90">
        <f>SUM(G743:G744)</f>
        <v>70000</v>
      </c>
      <c r="H742" s="233"/>
      <c r="I742" s="242">
        <f>G742/E742*100</f>
        <v>99.29078014184397</v>
      </c>
    </row>
    <row r="743" spans="1:9" ht="58.5" customHeight="1">
      <c r="A743" s="109"/>
      <c r="B743" s="75"/>
      <c r="C743" s="8">
        <v>2720</v>
      </c>
      <c r="D743" s="169" t="s">
        <v>340</v>
      </c>
      <c r="E743" s="52">
        <v>69000</v>
      </c>
      <c r="F743" s="126"/>
      <c r="G743" s="52">
        <v>70000</v>
      </c>
      <c r="H743" s="233"/>
      <c r="I743" s="289"/>
    </row>
    <row r="744" spans="1:9" ht="25.5" customHeight="1">
      <c r="A744" s="109"/>
      <c r="B744" s="85"/>
      <c r="C744" s="8">
        <v>4170</v>
      </c>
      <c r="D744" s="169" t="s">
        <v>526</v>
      </c>
      <c r="E744" s="26">
        <v>1500</v>
      </c>
      <c r="F744" s="126"/>
      <c r="G744" s="26">
        <v>0</v>
      </c>
      <c r="H744" s="233"/>
      <c r="I744" s="241"/>
    </row>
    <row r="745" spans="1:9" ht="20.25" customHeight="1">
      <c r="A745" s="107"/>
      <c r="B745" s="76">
        <v>92195</v>
      </c>
      <c r="C745" s="24"/>
      <c r="D745" s="174" t="s">
        <v>343</v>
      </c>
      <c r="E745" s="28">
        <f>SUM(E746:E753)</f>
        <v>1054681</v>
      </c>
      <c r="F745" s="126"/>
      <c r="G745" s="28">
        <f>SUM(G746:G753)</f>
        <v>244300</v>
      </c>
      <c r="H745" s="233"/>
      <c r="I745" s="242">
        <f>G745/E745*100</f>
        <v>23.16340201444797</v>
      </c>
    </row>
    <row r="746" spans="1:9" ht="60.75" customHeight="1">
      <c r="A746" s="111"/>
      <c r="B746" s="97"/>
      <c r="C746" s="2">
        <v>2360</v>
      </c>
      <c r="D746" s="169" t="s">
        <v>227</v>
      </c>
      <c r="E746" s="52">
        <v>85000</v>
      </c>
      <c r="F746" s="126"/>
      <c r="G746" s="52">
        <v>86000</v>
      </c>
      <c r="H746" s="233"/>
      <c r="I746" s="289"/>
    </row>
    <row r="747" spans="1:9" ht="23.25" customHeight="1">
      <c r="A747" s="109"/>
      <c r="B747" s="80"/>
      <c r="C747" s="8">
        <v>3040</v>
      </c>
      <c r="D747" s="169" t="s">
        <v>108</v>
      </c>
      <c r="E747" s="52">
        <v>25000</v>
      </c>
      <c r="F747" s="126"/>
      <c r="G747" s="52">
        <v>25000</v>
      </c>
      <c r="H747" s="233"/>
      <c r="I747" s="242"/>
    </row>
    <row r="748" spans="1:9" ht="15.75" customHeight="1">
      <c r="A748" s="109"/>
      <c r="B748" s="80"/>
      <c r="C748" s="8">
        <v>4170</v>
      </c>
      <c r="D748" s="169" t="s">
        <v>526</v>
      </c>
      <c r="E748" s="52">
        <v>2000</v>
      </c>
      <c r="F748" s="126"/>
      <c r="G748" s="52">
        <f>11800+1000</f>
        <v>12800</v>
      </c>
      <c r="H748" s="233"/>
      <c r="I748" s="242"/>
    </row>
    <row r="749" spans="1:9" ht="15.75" customHeight="1">
      <c r="A749" s="109"/>
      <c r="B749" s="80"/>
      <c r="C749" s="8">
        <v>4190</v>
      </c>
      <c r="D749" s="169" t="s">
        <v>175</v>
      </c>
      <c r="E749" s="52">
        <v>4039.97</v>
      </c>
      <c r="F749" s="126"/>
      <c r="G749" s="52">
        <v>4000</v>
      </c>
      <c r="H749" s="233"/>
      <c r="I749" s="242"/>
    </row>
    <row r="750" spans="1:9" ht="15.75" customHeight="1">
      <c r="A750" s="109"/>
      <c r="B750" s="80"/>
      <c r="C750" s="8">
        <v>4210</v>
      </c>
      <c r="D750" s="169" t="s">
        <v>449</v>
      </c>
      <c r="E750" s="52">
        <v>960.03</v>
      </c>
      <c r="F750" s="126"/>
      <c r="G750" s="52">
        <v>1000</v>
      </c>
      <c r="H750" s="233"/>
      <c r="I750" s="242"/>
    </row>
    <row r="751" spans="1:9" ht="15.75" customHeight="1">
      <c r="A751" s="109"/>
      <c r="B751" s="80"/>
      <c r="C751" s="15">
        <v>4300</v>
      </c>
      <c r="D751" s="169" t="s">
        <v>446</v>
      </c>
      <c r="E751" s="72">
        <v>931181</v>
      </c>
      <c r="F751" s="126"/>
      <c r="G751" s="72">
        <v>100000</v>
      </c>
      <c r="H751" s="233"/>
      <c r="I751" s="242"/>
    </row>
    <row r="752" spans="1:9" ht="15.75" customHeight="1">
      <c r="A752" s="109"/>
      <c r="B752" s="80"/>
      <c r="C752" s="15">
        <v>4430</v>
      </c>
      <c r="D752" s="169" t="s">
        <v>429</v>
      </c>
      <c r="E752" s="72">
        <v>500</v>
      </c>
      <c r="F752" s="126"/>
      <c r="G752" s="72">
        <v>500</v>
      </c>
      <c r="H752" s="233"/>
      <c r="I752" s="242"/>
    </row>
    <row r="753" spans="1:9" ht="15.75" customHeight="1">
      <c r="A753" s="109"/>
      <c r="B753" s="80"/>
      <c r="C753" s="2">
        <v>6050</v>
      </c>
      <c r="D753" s="171" t="s">
        <v>507</v>
      </c>
      <c r="E753" s="72">
        <v>6000</v>
      </c>
      <c r="F753" s="126"/>
      <c r="G753" s="72">
        <v>15000</v>
      </c>
      <c r="H753" s="233"/>
      <c r="I753" s="241"/>
    </row>
    <row r="754" spans="1:9" ht="24" customHeight="1">
      <c r="A754" s="60">
        <v>926</v>
      </c>
      <c r="B754" s="57"/>
      <c r="C754" s="10"/>
      <c r="D754" s="173" t="s">
        <v>297</v>
      </c>
      <c r="E754" s="33">
        <f>E755+E757+E782</f>
        <v>11894512</v>
      </c>
      <c r="F754" s="52"/>
      <c r="G754" s="33">
        <f>G755+G757+G782</f>
        <v>11493500</v>
      </c>
      <c r="H754" s="26"/>
      <c r="I754" s="215">
        <f>G754/E754*100</f>
        <v>96.62859644851339</v>
      </c>
    </row>
    <row r="755" spans="1:9" s="53" customFormat="1" ht="19.5" customHeight="1">
      <c r="A755" s="396"/>
      <c r="B755" s="104">
        <v>92601</v>
      </c>
      <c r="C755" s="24"/>
      <c r="D755" s="174" t="s">
        <v>251</v>
      </c>
      <c r="E755" s="90">
        <f>E756</f>
        <v>40000</v>
      </c>
      <c r="F755" s="225"/>
      <c r="G755" s="90">
        <f>G756</f>
        <v>33500</v>
      </c>
      <c r="H755" s="284"/>
      <c r="I755" s="95">
        <f>G755/E755*100</f>
        <v>83.75</v>
      </c>
    </row>
    <row r="756" spans="1:9" ht="20.25" customHeight="1">
      <c r="A756" s="65"/>
      <c r="B756" s="299"/>
      <c r="C756" s="2">
        <v>6050</v>
      </c>
      <c r="D756" s="171" t="s">
        <v>507</v>
      </c>
      <c r="E756" s="52">
        <v>40000</v>
      </c>
      <c r="F756" s="126"/>
      <c r="G756" s="52">
        <v>33500</v>
      </c>
      <c r="H756" s="233"/>
      <c r="I756" s="95"/>
    </row>
    <row r="757" spans="1:9" ht="20.25" customHeight="1">
      <c r="A757" s="65"/>
      <c r="B757" s="36">
        <v>92604</v>
      </c>
      <c r="C757" s="24"/>
      <c r="D757" s="174" t="s">
        <v>231</v>
      </c>
      <c r="E757" s="90">
        <f>SUM(E758:E781)</f>
        <v>9198270</v>
      </c>
      <c r="F757" s="126"/>
      <c r="G757" s="90">
        <f>SUM(G758:G781)</f>
        <v>8859500</v>
      </c>
      <c r="H757" s="233"/>
      <c r="I757" s="289">
        <f>G757/E757*100</f>
        <v>96.31702483184338</v>
      </c>
    </row>
    <row r="758" spans="1:9" ht="24" customHeight="1">
      <c r="A758" s="65"/>
      <c r="B758" s="9"/>
      <c r="C758" s="2">
        <v>3020</v>
      </c>
      <c r="D758" s="169" t="s">
        <v>284</v>
      </c>
      <c r="E758" s="52">
        <v>42300</v>
      </c>
      <c r="F758" s="126"/>
      <c r="G758" s="87">
        <v>38800</v>
      </c>
      <c r="H758" s="233"/>
      <c r="I758" s="289"/>
    </row>
    <row r="759" spans="1:9" ht="16.5" customHeight="1">
      <c r="A759" s="65"/>
      <c r="B759" s="9"/>
      <c r="C759" s="2">
        <v>4010</v>
      </c>
      <c r="D759" s="169" t="s">
        <v>492</v>
      </c>
      <c r="E759" s="52">
        <v>3886000</v>
      </c>
      <c r="F759" s="126"/>
      <c r="G759" s="52">
        <v>3943000</v>
      </c>
      <c r="H759" s="233"/>
      <c r="I759" s="242"/>
    </row>
    <row r="760" spans="1:9" ht="16.5" customHeight="1">
      <c r="A760" s="65"/>
      <c r="B760" s="9"/>
      <c r="C760" s="2">
        <v>4040</v>
      </c>
      <c r="D760" s="169" t="s">
        <v>493</v>
      </c>
      <c r="E760" s="52">
        <v>276910</v>
      </c>
      <c r="F760" s="126"/>
      <c r="G760" s="52">
        <v>290000</v>
      </c>
      <c r="H760" s="233"/>
      <c r="I760" s="242"/>
    </row>
    <row r="761" spans="1:9" ht="16.5" customHeight="1">
      <c r="A761" s="65"/>
      <c r="B761" s="9"/>
      <c r="C761" s="2">
        <v>4110</v>
      </c>
      <c r="D761" s="169" t="s">
        <v>519</v>
      </c>
      <c r="E761" s="52">
        <v>725000</v>
      </c>
      <c r="F761" s="126"/>
      <c r="G761" s="52">
        <v>730000</v>
      </c>
      <c r="H761" s="233"/>
      <c r="I761" s="242"/>
    </row>
    <row r="762" spans="1:9" ht="16.5" customHeight="1">
      <c r="A762" s="65"/>
      <c r="B762" s="9"/>
      <c r="C762" s="2">
        <v>4120</v>
      </c>
      <c r="D762" s="169" t="s">
        <v>520</v>
      </c>
      <c r="E762" s="52">
        <v>82500</v>
      </c>
      <c r="F762" s="126"/>
      <c r="G762" s="52">
        <v>84000</v>
      </c>
      <c r="H762" s="233"/>
      <c r="I762" s="242"/>
    </row>
    <row r="763" spans="1:9" ht="24" customHeight="1">
      <c r="A763" s="65"/>
      <c r="B763" s="9"/>
      <c r="C763" s="13">
        <v>4140</v>
      </c>
      <c r="D763" s="169" t="s">
        <v>320</v>
      </c>
      <c r="E763" s="52">
        <v>56500</v>
      </c>
      <c r="F763" s="126"/>
      <c r="G763" s="52">
        <v>57000</v>
      </c>
      <c r="H763" s="233"/>
      <c r="I763" s="242"/>
    </row>
    <row r="764" spans="1:9" ht="16.5" customHeight="1">
      <c r="A764" s="65"/>
      <c r="B764" s="9"/>
      <c r="C764" s="2">
        <v>4170</v>
      </c>
      <c r="D764" s="169" t="s">
        <v>526</v>
      </c>
      <c r="E764" s="52">
        <v>579500</v>
      </c>
      <c r="F764" s="126"/>
      <c r="G764" s="52">
        <v>424000</v>
      </c>
      <c r="H764" s="233"/>
      <c r="I764" s="242"/>
    </row>
    <row r="765" spans="1:9" ht="16.5" customHeight="1">
      <c r="A765" s="65"/>
      <c r="B765" s="9"/>
      <c r="C765" s="13">
        <v>4210</v>
      </c>
      <c r="D765" s="171" t="s">
        <v>449</v>
      </c>
      <c r="E765" s="52">
        <v>306550</v>
      </c>
      <c r="F765" s="126"/>
      <c r="G765" s="52">
        <v>280600</v>
      </c>
      <c r="H765" s="233"/>
      <c r="I765" s="242"/>
    </row>
    <row r="766" spans="1:9" ht="16.5" customHeight="1">
      <c r="A766" s="65"/>
      <c r="B766" s="9"/>
      <c r="C766" s="2">
        <v>4260</v>
      </c>
      <c r="D766" s="169" t="s">
        <v>533</v>
      </c>
      <c r="E766" s="52">
        <v>1339200</v>
      </c>
      <c r="F766" s="126"/>
      <c r="G766" s="52">
        <v>1340000</v>
      </c>
      <c r="H766" s="233"/>
      <c r="I766" s="242"/>
    </row>
    <row r="767" spans="1:9" ht="16.5" customHeight="1">
      <c r="A767" s="65"/>
      <c r="B767" s="9"/>
      <c r="C767" s="2">
        <v>4270</v>
      </c>
      <c r="D767" s="169" t="s">
        <v>450</v>
      </c>
      <c r="E767" s="52">
        <v>111470</v>
      </c>
      <c r="F767" s="126"/>
      <c r="G767" s="52">
        <v>100000</v>
      </c>
      <c r="H767" s="233"/>
      <c r="I767" s="242"/>
    </row>
    <row r="768" spans="1:9" ht="16.5" customHeight="1">
      <c r="A768" s="65"/>
      <c r="B768" s="9"/>
      <c r="C768" s="2">
        <v>4280</v>
      </c>
      <c r="D768" s="169" t="s">
        <v>286</v>
      </c>
      <c r="E768" s="52">
        <v>3600</v>
      </c>
      <c r="F768" s="126"/>
      <c r="G768" s="52">
        <v>6000</v>
      </c>
      <c r="H768" s="233"/>
      <c r="I768" s="242"/>
    </row>
    <row r="769" spans="1:9" ht="16.5" customHeight="1">
      <c r="A769" s="65"/>
      <c r="B769" s="9"/>
      <c r="C769" s="2">
        <v>4300</v>
      </c>
      <c r="D769" s="169" t="s">
        <v>446</v>
      </c>
      <c r="E769" s="52">
        <v>1203200</v>
      </c>
      <c r="F769" s="126"/>
      <c r="G769" s="52">
        <v>962500</v>
      </c>
      <c r="H769" s="233"/>
      <c r="I769" s="242"/>
    </row>
    <row r="770" spans="1:9" ht="28.5" customHeight="1">
      <c r="A770" s="65"/>
      <c r="B770" s="9"/>
      <c r="C770" s="2">
        <v>4360</v>
      </c>
      <c r="D770" s="169" t="s">
        <v>216</v>
      </c>
      <c r="E770" s="52">
        <v>28600</v>
      </c>
      <c r="F770" s="126"/>
      <c r="G770" s="52">
        <v>28600</v>
      </c>
      <c r="H770" s="233"/>
      <c r="I770" s="242"/>
    </row>
    <row r="771" spans="1:9" ht="28.5" customHeight="1">
      <c r="A771" s="65"/>
      <c r="B771" s="9"/>
      <c r="C771" s="2">
        <v>4390</v>
      </c>
      <c r="D771" s="169" t="s">
        <v>354</v>
      </c>
      <c r="E771" s="52"/>
      <c r="F771" s="126"/>
      <c r="G771" s="52">
        <v>4000</v>
      </c>
      <c r="H771" s="233"/>
      <c r="I771" s="242"/>
    </row>
    <row r="772" spans="1:9" ht="16.5" customHeight="1">
      <c r="A772" s="65"/>
      <c r="B772" s="9"/>
      <c r="C772" s="2">
        <v>4410</v>
      </c>
      <c r="D772" s="169" t="s">
        <v>523</v>
      </c>
      <c r="E772" s="52">
        <v>24000</v>
      </c>
      <c r="F772" s="126"/>
      <c r="G772" s="52">
        <v>26500</v>
      </c>
      <c r="H772" s="233"/>
      <c r="I772" s="242"/>
    </row>
    <row r="773" spans="1:9" ht="16.5" customHeight="1">
      <c r="A773" s="65"/>
      <c r="B773" s="9"/>
      <c r="C773" s="2">
        <v>4430</v>
      </c>
      <c r="D773" s="169" t="s">
        <v>429</v>
      </c>
      <c r="E773" s="52">
        <v>28000</v>
      </c>
      <c r="F773" s="126"/>
      <c r="G773" s="52">
        <v>28000</v>
      </c>
      <c r="H773" s="233"/>
      <c r="I773" s="242"/>
    </row>
    <row r="774" spans="1:9" ht="24" customHeight="1">
      <c r="A774" s="65"/>
      <c r="B774" s="9"/>
      <c r="C774" s="2">
        <v>4440</v>
      </c>
      <c r="D774" s="169" t="s">
        <v>521</v>
      </c>
      <c r="E774" s="52">
        <v>118500</v>
      </c>
      <c r="F774" s="126"/>
      <c r="G774" s="52">
        <v>118500</v>
      </c>
      <c r="H774" s="233"/>
      <c r="I774" s="242"/>
    </row>
    <row r="775" spans="1:9" ht="16.5" customHeight="1">
      <c r="A775" s="65"/>
      <c r="B775" s="9"/>
      <c r="C775" s="2">
        <v>4480</v>
      </c>
      <c r="D775" s="169" t="s">
        <v>367</v>
      </c>
      <c r="E775" s="52">
        <v>185000</v>
      </c>
      <c r="F775" s="126"/>
      <c r="G775" s="52">
        <v>185000</v>
      </c>
      <c r="H775" s="233"/>
      <c r="I775" s="242"/>
    </row>
    <row r="776" spans="1:9" ht="24" customHeight="1">
      <c r="A776" s="65"/>
      <c r="B776" s="9"/>
      <c r="C776" s="2">
        <v>4520</v>
      </c>
      <c r="D776" s="169" t="s">
        <v>417</v>
      </c>
      <c r="E776" s="52">
        <v>47800</v>
      </c>
      <c r="F776" s="126"/>
      <c r="G776" s="52">
        <v>48500</v>
      </c>
      <c r="H776" s="233"/>
      <c r="I776" s="242"/>
    </row>
    <row r="777" spans="1:9" ht="16.5" customHeight="1">
      <c r="A777" s="65"/>
      <c r="B777" s="9"/>
      <c r="C777" s="2">
        <v>4530</v>
      </c>
      <c r="D777" s="169" t="s">
        <v>230</v>
      </c>
      <c r="E777" s="52">
        <v>100000</v>
      </c>
      <c r="F777" s="126"/>
      <c r="G777" s="52">
        <v>100000</v>
      </c>
      <c r="H777" s="233"/>
      <c r="I777" s="242"/>
    </row>
    <row r="778" spans="1:9" ht="27" customHeight="1">
      <c r="A778" s="65"/>
      <c r="B778" s="9"/>
      <c r="C778" s="2">
        <v>4610</v>
      </c>
      <c r="D778" s="169" t="s">
        <v>508</v>
      </c>
      <c r="E778" s="52">
        <v>7960</v>
      </c>
      <c r="F778" s="126"/>
      <c r="G778" s="52">
        <v>1000</v>
      </c>
      <c r="H778" s="233"/>
      <c r="I778" s="242"/>
    </row>
    <row r="779" spans="1:9" ht="24" customHeight="1">
      <c r="A779" s="65"/>
      <c r="B779" s="9"/>
      <c r="C779" s="2">
        <v>4700</v>
      </c>
      <c r="D779" s="169" t="s">
        <v>418</v>
      </c>
      <c r="E779" s="52">
        <v>3640</v>
      </c>
      <c r="F779" s="126"/>
      <c r="G779" s="52">
        <v>4000</v>
      </c>
      <c r="H779" s="233"/>
      <c r="I779" s="242"/>
    </row>
    <row r="780" spans="1:9" ht="24" customHeight="1">
      <c r="A780" s="65"/>
      <c r="B780" s="9"/>
      <c r="C780" s="2">
        <v>6050</v>
      </c>
      <c r="D780" s="171" t="s">
        <v>507</v>
      </c>
      <c r="E780" s="52">
        <v>0</v>
      </c>
      <c r="F780" s="126"/>
      <c r="G780" s="52">
        <v>29600</v>
      </c>
      <c r="H780" s="233"/>
      <c r="I780" s="242"/>
    </row>
    <row r="781" spans="1:9" ht="24" customHeight="1">
      <c r="A781" s="65"/>
      <c r="B781" s="9"/>
      <c r="C781" s="2">
        <v>6060</v>
      </c>
      <c r="D781" s="169" t="s">
        <v>538</v>
      </c>
      <c r="E781" s="52">
        <v>42040</v>
      </c>
      <c r="F781" s="126"/>
      <c r="G781" s="52">
        <v>29900</v>
      </c>
      <c r="H781" s="233"/>
      <c r="I781" s="241"/>
    </row>
    <row r="782" spans="1:9" ht="20.25" customHeight="1">
      <c r="A782" s="107"/>
      <c r="B782" s="98">
        <v>92695</v>
      </c>
      <c r="C782" s="24"/>
      <c r="D782" s="174" t="s">
        <v>535</v>
      </c>
      <c r="E782" s="90">
        <f>SUM(E783:E789)</f>
        <v>2656242</v>
      </c>
      <c r="F782" s="126"/>
      <c r="G782" s="90">
        <f>SUM(G783:G789)</f>
        <v>2600500</v>
      </c>
      <c r="H782" s="233"/>
      <c r="I782" s="242">
        <f>G782/E782*100</f>
        <v>97.90147132678423</v>
      </c>
    </row>
    <row r="783" spans="1:9" ht="60.75" customHeight="1">
      <c r="A783" s="109"/>
      <c r="B783" s="75"/>
      <c r="C783" s="2">
        <v>2360</v>
      </c>
      <c r="D783" s="169" t="s">
        <v>227</v>
      </c>
      <c r="E783" s="87">
        <v>130000</v>
      </c>
      <c r="F783" s="126"/>
      <c r="G783" s="87">
        <v>130000</v>
      </c>
      <c r="H783" s="233"/>
      <c r="I783" s="289"/>
    </row>
    <row r="784" spans="1:9" ht="36.75" customHeight="1">
      <c r="A784" s="109"/>
      <c r="B784" s="80"/>
      <c r="C784" s="2">
        <v>2820</v>
      </c>
      <c r="D784" s="169" t="s">
        <v>500</v>
      </c>
      <c r="E784" s="87">
        <v>2415000</v>
      </c>
      <c r="F784" s="126"/>
      <c r="G784" s="87">
        <v>2350000</v>
      </c>
      <c r="H784" s="233"/>
      <c r="I784" s="242"/>
    </row>
    <row r="785" spans="1:9" ht="24" customHeight="1">
      <c r="A785" s="109"/>
      <c r="B785" s="80"/>
      <c r="C785" s="8">
        <v>3040</v>
      </c>
      <c r="D785" s="169" t="s">
        <v>108</v>
      </c>
      <c r="E785" s="87">
        <v>50000</v>
      </c>
      <c r="F785" s="126"/>
      <c r="G785" s="87">
        <v>50000</v>
      </c>
      <c r="H785" s="233"/>
      <c r="I785" s="242"/>
    </row>
    <row r="786" spans="1:9" ht="16.5" customHeight="1">
      <c r="A786" s="109"/>
      <c r="B786" s="80"/>
      <c r="C786" s="2">
        <v>4170</v>
      </c>
      <c r="D786" s="169" t="s">
        <v>526</v>
      </c>
      <c r="E786" s="87">
        <v>242</v>
      </c>
      <c r="F786" s="126"/>
      <c r="G786" s="87">
        <v>0</v>
      </c>
      <c r="H786" s="233"/>
      <c r="I786" s="242"/>
    </row>
    <row r="787" spans="1:9" ht="16.5" customHeight="1">
      <c r="A787" s="109"/>
      <c r="B787" s="80"/>
      <c r="C787" s="8">
        <v>4190</v>
      </c>
      <c r="D787" s="169" t="s">
        <v>175</v>
      </c>
      <c r="E787" s="87">
        <v>24000</v>
      </c>
      <c r="F787" s="126"/>
      <c r="G787" s="87">
        <v>25000</v>
      </c>
      <c r="H787" s="233"/>
      <c r="I787" s="242"/>
    </row>
    <row r="788" spans="1:9" ht="16.5" customHeight="1">
      <c r="A788" s="109"/>
      <c r="B788" s="80"/>
      <c r="C788" s="8">
        <v>4210</v>
      </c>
      <c r="D788" s="169" t="s">
        <v>449</v>
      </c>
      <c r="E788" s="52">
        <v>12000</v>
      </c>
      <c r="F788" s="126"/>
      <c r="G788" s="52">
        <f>7000+20000</f>
        <v>27000</v>
      </c>
      <c r="H788" s="233"/>
      <c r="I788" s="242"/>
    </row>
    <row r="789" spans="1:9" ht="16.5" customHeight="1">
      <c r="A789" s="109"/>
      <c r="B789" s="80"/>
      <c r="C789" s="15">
        <v>4300</v>
      </c>
      <c r="D789" s="171" t="s">
        <v>446</v>
      </c>
      <c r="E789" s="52">
        <v>25000</v>
      </c>
      <c r="F789" s="229"/>
      <c r="G789" s="52">
        <v>18500</v>
      </c>
      <c r="H789" s="295"/>
      <c r="I789" s="241"/>
    </row>
    <row r="790" spans="1:9" ht="23.25" customHeight="1">
      <c r="A790" s="435" t="s">
        <v>509</v>
      </c>
      <c r="B790" s="423"/>
      <c r="C790" s="12"/>
      <c r="D790" s="198"/>
      <c r="E790" s="436">
        <f>E15+E25+E46+E72+E85+E138+E170+E173+E206+E210+E218+E424+E478+E592+E652+E685+E737+E754</f>
        <v>310718154.06000006</v>
      </c>
      <c r="F790" s="436">
        <f>F15+F25+F46+F72+F85+F138+F170+F173+F206+F210+F218+F424+F478+F592+F652+F685+F737+F754</f>
        <v>25710696.65</v>
      </c>
      <c r="G790" s="436">
        <f>G15+G25+G46+G72+G85+G138+G170+G173+G206+G210+G218+G424+G478+G592+G652+G685+G737+G754</f>
        <v>255734992.36</v>
      </c>
      <c r="H790" s="437">
        <f>H15+H25+H46+H72+H85+H138+H170+H173+H206+H210+H218+H424+H478+H592+H652+H685+H737+H754</f>
        <v>24063781</v>
      </c>
      <c r="I790" s="438">
        <f>G790/E790*100</f>
        <v>82.3044901041145</v>
      </c>
    </row>
    <row r="791" spans="1:9" ht="20.25" customHeight="1">
      <c r="A791" s="112" t="s">
        <v>307</v>
      </c>
      <c r="B791" s="296" t="s">
        <v>255</v>
      </c>
      <c r="C791" s="4"/>
      <c r="D791" s="175"/>
      <c r="E791" s="158"/>
      <c r="F791" s="41"/>
      <c r="G791" s="158"/>
      <c r="H791" s="41"/>
      <c r="I791" s="297"/>
    </row>
    <row r="792" spans="1:9" ht="24" customHeight="1">
      <c r="A792" s="66">
        <v>600</v>
      </c>
      <c r="B792" s="67"/>
      <c r="C792" s="5"/>
      <c r="D792" s="196" t="s">
        <v>311</v>
      </c>
      <c r="E792" s="125">
        <f>E793+E795</f>
        <v>13901023</v>
      </c>
      <c r="F792" s="125"/>
      <c r="G792" s="125">
        <f>G793+G795</f>
        <v>21320767.52</v>
      </c>
      <c r="H792" s="125"/>
      <c r="I792" s="215">
        <f>G792/E792*100</f>
        <v>153.3755286931041</v>
      </c>
    </row>
    <row r="793" spans="1:9" ht="20.25" customHeight="1">
      <c r="A793" s="58"/>
      <c r="B793" s="104">
        <v>60013</v>
      </c>
      <c r="C793" s="5"/>
      <c r="D793" s="200" t="s">
        <v>178</v>
      </c>
      <c r="E793" s="239">
        <f>SUM(E794)</f>
        <v>250000</v>
      </c>
      <c r="F793" s="225"/>
      <c r="G793" s="239">
        <f>SUM(G794)</f>
        <v>250000</v>
      </c>
      <c r="H793" s="284"/>
      <c r="I793" s="241">
        <f>G793/E793*100</f>
        <v>100</v>
      </c>
    </row>
    <row r="794" spans="1:9" ht="49.5" customHeight="1">
      <c r="A794" s="66"/>
      <c r="B794" s="299"/>
      <c r="C794" s="1">
        <v>6300</v>
      </c>
      <c r="D794" s="201" t="s">
        <v>179</v>
      </c>
      <c r="E794" s="127">
        <v>250000</v>
      </c>
      <c r="F794" s="126"/>
      <c r="G794" s="127">
        <v>250000</v>
      </c>
      <c r="H794" s="233"/>
      <c r="I794" s="241"/>
    </row>
    <row r="795" spans="1:9" ht="23.25" customHeight="1">
      <c r="A795" s="97"/>
      <c r="B795" s="74">
        <v>60015</v>
      </c>
      <c r="C795" s="24"/>
      <c r="D795" s="174" t="s">
        <v>510</v>
      </c>
      <c r="E795" s="28">
        <f>SUM(E796:E818)</f>
        <v>13651023</v>
      </c>
      <c r="F795" s="72"/>
      <c r="G795" s="28">
        <f>SUM(G796:G818)</f>
        <v>21070767.52</v>
      </c>
      <c r="H795" s="128"/>
      <c r="I795" s="242">
        <f>G795/E795*100</f>
        <v>154.3530292198614</v>
      </c>
    </row>
    <row r="796" spans="1:9" ht="23.25" customHeight="1">
      <c r="A796" s="97"/>
      <c r="B796" s="77"/>
      <c r="C796" s="2">
        <v>3020</v>
      </c>
      <c r="D796" s="169" t="s">
        <v>284</v>
      </c>
      <c r="E796" s="127"/>
      <c r="F796" s="126"/>
      <c r="G796" s="127">
        <v>13000</v>
      </c>
      <c r="H796" s="233"/>
      <c r="I796" s="289"/>
    </row>
    <row r="797" spans="1:9" ht="23.25" customHeight="1">
      <c r="A797" s="97"/>
      <c r="B797" s="77"/>
      <c r="C797" s="2">
        <v>4010</v>
      </c>
      <c r="D797" s="169" t="s">
        <v>492</v>
      </c>
      <c r="E797" s="127"/>
      <c r="F797" s="126"/>
      <c r="G797" s="127">
        <v>1543770.52</v>
      </c>
      <c r="H797" s="233"/>
      <c r="I797" s="242"/>
    </row>
    <row r="798" spans="1:9" ht="23.25" customHeight="1">
      <c r="A798" s="97"/>
      <c r="B798" s="77"/>
      <c r="C798" s="2">
        <v>4040</v>
      </c>
      <c r="D798" s="169" t="s">
        <v>493</v>
      </c>
      <c r="E798" s="127"/>
      <c r="F798" s="126"/>
      <c r="G798" s="127">
        <v>129979.81</v>
      </c>
      <c r="H798" s="233"/>
      <c r="I798" s="242"/>
    </row>
    <row r="799" spans="1:9" ht="23.25" customHeight="1">
      <c r="A799" s="97"/>
      <c r="B799" s="77"/>
      <c r="C799" s="2">
        <v>4110</v>
      </c>
      <c r="D799" s="169" t="s">
        <v>519</v>
      </c>
      <c r="E799" s="127"/>
      <c r="F799" s="126"/>
      <c r="G799" s="127">
        <v>289631.31</v>
      </c>
      <c r="H799" s="233"/>
      <c r="I799" s="242"/>
    </row>
    <row r="800" spans="1:9" ht="23.25" customHeight="1">
      <c r="A800" s="97"/>
      <c r="B800" s="77"/>
      <c r="C800" s="2">
        <v>4120</v>
      </c>
      <c r="D800" s="169" t="s">
        <v>520</v>
      </c>
      <c r="E800" s="127"/>
      <c r="F800" s="126"/>
      <c r="G800" s="127">
        <v>41496.88</v>
      </c>
      <c r="H800" s="233"/>
      <c r="I800" s="242"/>
    </row>
    <row r="801" spans="1:9" ht="23.25" customHeight="1">
      <c r="A801" s="97"/>
      <c r="B801" s="77"/>
      <c r="C801" s="13">
        <v>4140</v>
      </c>
      <c r="D801" s="169" t="s">
        <v>320</v>
      </c>
      <c r="E801" s="127"/>
      <c r="F801" s="126"/>
      <c r="G801" s="127">
        <v>40000</v>
      </c>
      <c r="H801" s="233"/>
      <c r="I801" s="242"/>
    </row>
    <row r="802" spans="1:9" ht="17.25" customHeight="1">
      <c r="A802" s="97"/>
      <c r="B802" s="77"/>
      <c r="C802" s="2">
        <v>4170</v>
      </c>
      <c r="D802" s="169" t="s">
        <v>526</v>
      </c>
      <c r="E802" s="127">
        <v>12000</v>
      </c>
      <c r="F802" s="126"/>
      <c r="G802" s="127">
        <v>15000</v>
      </c>
      <c r="H802" s="233"/>
      <c r="I802" s="242"/>
    </row>
    <row r="803" spans="1:9" ht="17.25" customHeight="1">
      <c r="A803" s="97"/>
      <c r="B803" s="77"/>
      <c r="C803" s="13">
        <v>4210</v>
      </c>
      <c r="D803" s="171" t="s">
        <v>449</v>
      </c>
      <c r="E803" s="127"/>
      <c r="F803" s="126"/>
      <c r="G803" s="127">
        <v>355000</v>
      </c>
      <c r="H803" s="233"/>
      <c r="I803" s="242"/>
    </row>
    <row r="804" spans="1:9" ht="17.25" customHeight="1">
      <c r="A804" s="97"/>
      <c r="B804" s="77"/>
      <c r="C804" s="2">
        <v>4260</v>
      </c>
      <c r="D804" s="169" t="s">
        <v>533</v>
      </c>
      <c r="E804" s="127"/>
      <c r="F804" s="126"/>
      <c r="G804" s="127">
        <v>51300</v>
      </c>
      <c r="H804" s="233"/>
      <c r="I804" s="242"/>
    </row>
    <row r="805" spans="1:9" ht="17.25" customHeight="1">
      <c r="A805" s="97"/>
      <c r="B805" s="77"/>
      <c r="C805" s="2">
        <v>4270</v>
      </c>
      <c r="D805" s="169" t="s">
        <v>450</v>
      </c>
      <c r="E805" s="127">
        <v>3499252</v>
      </c>
      <c r="F805" s="126"/>
      <c r="G805" s="127">
        <v>3055000</v>
      </c>
      <c r="H805" s="233"/>
      <c r="I805" s="242"/>
    </row>
    <row r="806" spans="1:9" ht="17.25" customHeight="1">
      <c r="A806" s="97"/>
      <c r="B806" s="77"/>
      <c r="C806" s="2">
        <v>4280</v>
      </c>
      <c r="D806" s="169" t="s">
        <v>286</v>
      </c>
      <c r="E806" s="127"/>
      <c r="F806" s="126"/>
      <c r="G806" s="127">
        <v>3000</v>
      </c>
      <c r="H806" s="233"/>
      <c r="I806" s="242"/>
    </row>
    <row r="807" spans="1:9" ht="17.25" customHeight="1">
      <c r="A807" s="80"/>
      <c r="B807" s="286"/>
      <c r="C807" s="2">
        <v>4300</v>
      </c>
      <c r="D807" s="169" t="s">
        <v>446</v>
      </c>
      <c r="E807" s="26">
        <v>1928159.2</v>
      </c>
      <c r="F807" s="126"/>
      <c r="G807" s="26">
        <f>50000+2047900+99889</f>
        <v>2197789</v>
      </c>
      <c r="H807" s="233"/>
      <c r="I807" s="242"/>
    </row>
    <row r="808" spans="1:9" ht="25.5" customHeight="1">
      <c r="A808" s="80"/>
      <c r="B808" s="286"/>
      <c r="C808" s="2">
        <v>4360</v>
      </c>
      <c r="D808" s="169" t="s">
        <v>216</v>
      </c>
      <c r="E808" s="26"/>
      <c r="F808" s="126"/>
      <c r="G808" s="26">
        <v>17700</v>
      </c>
      <c r="H808" s="233"/>
      <c r="I808" s="242"/>
    </row>
    <row r="809" spans="1:9" ht="25.5" customHeight="1">
      <c r="A809" s="80"/>
      <c r="B809" s="286"/>
      <c r="C809" s="2">
        <v>4390</v>
      </c>
      <c r="D809" s="169" t="s">
        <v>354</v>
      </c>
      <c r="E809" s="26">
        <v>3700</v>
      </c>
      <c r="F809" s="126"/>
      <c r="G809" s="26">
        <v>5000</v>
      </c>
      <c r="H809" s="233"/>
      <c r="I809" s="242"/>
    </row>
    <row r="810" spans="1:9" ht="25.5" customHeight="1">
      <c r="A810" s="80"/>
      <c r="B810" s="286"/>
      <c r="C810" s="2">
        <v>4400</v>
      </c>
      <c r="D810" s="169" t="s">
        <v>218</v>
      </c>
      <c r="E810" s="26"/>
      <c r="F810" s="126"/>
      <c r="G810" s="26">
        <v>75000</v>
      </c>
      <c r="H810" s="233"/>
      <c r="I810" s="242"/>
    </row>
    <row r="811" spans="1:9" ht="22.5" customHeight="1">
      <c r="A811" s="80"/>
      <c r="B811" s="286"/>
      <c r="C811" s="2">
        <v>4410</v>
      </c>
      <c r="D811" s="169" t="s">
        <v>523</v>
      </c>
      <c r="E811" s="26"/>
      <c r="F811" s="126"/>
      <c r="G811" s="26">
        <v>45000</v>
      </c>
      <c r="H811" s="233"/>
      <c r="I811" s="242"/>
    </row>
    <row r="812" spans="1:9" ht="21" customHeight="1">
      <c r="A812" s="80"/>
      <c r="B812" s="286"/>
      <c r="C812" s="2">
        <v>4420</v>
      </c>
      <c r="D812" s="169" t="s">
        <v>524</v>
      </c>
      <c r="E812" s="26"/>
      <c r="F812" s="126"/>
      <c r="G812" s="26">
        <v>2000</v>
      </c>
      <c r="H812" s="233"/>
      <c r="I812" s="242"/>
    </row>
    <row r="813" spans="1:9" ht="17.25" customHeight="1">
      <c r="A813" s="80"/>
      <c r="B813" s="286"/>
      <c r="C813" s="2">
        <v>4430</v>
      </c>
      <c r="D813" s="169" t="s">
        <v>429</v>
      </c>
      <c r="E813" s="26">
        <v>20000</v>
      </c>
      <c r="F813" s="126"/>
      <c r="G813" s="26">
        <v>50000</v>
      </c>
      <c r="H813" s="233"/>
      <c r="I813" s="242"/>
    </row>
    <row r="814" spans="1:9" ht="24" customHeight="1">
      <c r="A814" s="80"/>
      <c r="B814" s="286"/>
      <c r="C814" s="2">
        <v>4440</v>
      </c>
      <c r="D814" s="169" t="s">
        <v>521</v>
      </c>
      <c r="E814" s="26"/>
      <c r="F814" s="126"/>
      <c r="G814" s="26">
        <v>38300</v>
      </c>
      <c r="H814" s="233"/>
      <c r="I814" s="242"/>
    </row>
    <row r="815" spans="1:9" ht="24" customHeight="1">
      <c r="A815" s="80"/>
      <c r="B815" s="286"/>
      <c r="C815" s="2">
        <v>4520</v>
      </c>
      <c r="D815" s="169" t="s">
        <v>417</v>
      </c>
      <c r="E815" s="26"/>
      <c r="F815" s="126"/>
      <c r="G815" s="26">
        <v>1800</v>
      </c>
      <c r="H815" s="233"/>
      <c r="I815" s="242"/>
    </row>
    <row r="816" spans="1:9" ht="27.75" customHeight="1">
      <c r="A816" s="80"/>
      <c r="B816" s="286"/>
      <c r="C816" s="2">
        <v>4700</v>
      </c>
      <c r="D816" s="169" t="s">
        <v>418</v>
      </c>
      <c r="E816" s="26"/>
      <c r="F816" s="126"/>
      <c r="G816" s="26">
        <v>10000</v>
      </c>
      <c r="H816" s="233"/>
      <c r="I816" s="242"/>
    </row>
    <row r="817" spans="1:9" ht="17.25" customHeight="1">
      <c r="A817" s="80"/>
      <c r="B817" s="286"/>
      <c r="C817" s="13">
        <v>6050</v>
      </c>
      <c r="D817" s="169" t="s">
        <v>293</v>
      </c>
      <c r="E817" s="26">
        <v>8187911.8</v>
      </c>
      <c r="F817" s="126"/>
      <c r="G817" s="26">
        <f>2000000+800000+9591000+500000</f>
        <v>12891000</v>
      </c>
      <c r="H817" s="233"/>
      <c r="I817" s="242"/>
    </row>
    <row r="818" spans="1:9" ht="27" customHeight="1">
      <c r="A818" s="85"/>
      <c r="B818" s="286"/>
      <c r="C818" s="2">
        <v>6060</v>
      </c>
      <c r="D818" s="169" t="s">
        <v>538</v>
      </c>
      <c r="E818" s="26"/>
      <c r="F818" s="87"/>
      <c r="G818" s="26">
        <v>200000</v>
      </c>
      <c r="H818" s="127"/>
      <c r="I818" s="241"/>
    </row>
    <row r="819" spans="1:9" ht="23.25" customHeight="1">
      <c r="A819" s="67">
        <v>630</v>
      </c>
      <c r="B819" s="57"/>
      <c r="C819" s="10"/>
      <c r="D819" s="173" t="s">
        <v>511</v>
      </c>
      <c r="E819" s="33">
        <f>E820+E822+E824</f>
        <v>897068</v>
      </c>
      <c r="F819" s="126"/>
      <c r="G819" s="33">
        <f>G820+G822+G824</f>
        <v>160800</v>
      </c>
      <c r="H819" s="233"/>
      <c r="I819" s="215">
        <f>G819/E819*100</f>
        <v>17.925062537065195</v>
      </c>
    </row>
    <row r="820" spans="1:9" s="53" customFormat="1" ht="20.25" customHeight="1">
      <c r="A820" s="92"/>
      <c r="B820" s="46">
        <v>63001</v>
      </c>
      <c r="C820" s="24"/>
      <c r="D820" s="174" t="s">
        <v>115</v>
      </c>
      <c r="E820" s="38">
        <f>E821</f>
        <v>60000</v>
      </c>
      <c r="F820" s="166"/>
      <c r="G820" s="38">
        <f>G821</f>
        <v>42000</v>
      </c>
      <c r="H820" s="290"/>
      <c r="I820" s="241">
        <f>G820/E820*100</f>
        <v>70</v>
      </c>
    </row>
    <row r="821" spans="1:9" ht="60.75" customHeight="1">
      <c r="A821" s="66"/>
      <c r="B821" s="57"/>
      <c r="C821" s="2">
        <v>2360</v>
      </c>
      <c r="D821" s="169" t="s">
        <v>227</v>
      </c>
      <c r="E821" s="55">
        <v>60000</v>
      </c>
      <c r="F821" s="126"/>
      <c r="G821" s="55">
        <v>42000</v>
      </c>
      <c r="H821" s="233"/>
      <c r="I821" s="241"/>
    </row>
    <row r="822" spans="1:9" ht="26.25" customHeight="1">
      <c r="A822" s="66"/>
      <c r="B822" s="46">
        <v>63003</v>
      </c>
      <c r="C822" s="46"/>
      <c r="D822" s="174" t="s">
        <v>180</v>
      </c>
      <c r="E822" s="90">
        <f>SUM(E823)</f>
        <v>2258</v>
      </c>
      <c r="F822" s="300"/>
      <c r="G822" s="90">
        <f>SUM(G823)</f>
        <v>2900</v>
      </c>
      <c r="H822" s="301"/>
      <c r="I822" s="241">
        <f>G822/E822*100</f>
        <v>128.43224092116918</v>
      </c>
    </row>
    <row r="823" spans="1:9" ht="48.75" customHeight="1">
      <c r="A823" s="66"/>
      <c r="B823" s="258"/>
      <c r="C823" s="2">
        <v>2320</v>
      </c>
      <c r="D823" s="169" t="s">
        <v>181</v>
      </c>
      <c r="E823" s="55">
        <v>2258</v>
      </c>
      <c r="F823" s="126"/>
      <c r="G823" s="55">
        <v>2900</v>
      </c>
      <c r="H823" s="233"/>
      <c r="I823" s="241"/>
    </row>
    <row r="824" spans="1:9" ht="20.25" customHeight="1">
      <c r="A824" s="97"/>
      <c r="B824" s="46">
        <v>63095</v>
      </c>
      <c r="C824" s="24"/>
      <c r="D824" s="174" t="s">
        <v>343</v>
      </c>
      <c r="E824" s="28">
        <f>SUM(E825:E832)</f>
        <v>834810</v>
      </c>
      <c r="F824" s="126"/>
      <c r="G824" s="28">
        <f>SUM(G825:G832)</f>
        <v>115900</v>
      </c>
      <c r="H824" s="233"/>
      <c r="I824" s="242">
        <f>G824/E824*100</f>
        <v>13.883398617649526</v>
      </c>
    </row>
    <row r="825" spans="1:9" ht="61.5" customHeight="1">
      <c r="A825" s="97"/>
      <c r="B825" s="77"/>
      <c r="C825" s="2">
        <v>2360</v>
      </c>
      <c r="D825" s="169" t="s">
        <v>227</v>
      </c>
      <c r="E825" s="88">
        <v>31000</v>
      </c>
      <c r="F825" s="126"/>
      <c r="G825" s="88">
        <v>32000</v>
      </c>
      <c r="H825" s="233"/>
      <c r="I825" s="289"/>
    </row>
    <row r="826" spans="1:9" ht="16.5" customHeight="1">
      <c r="A826" s="97"/>
      <c r="B826" s="77"/>
      <c r="C826" s="2">
        <v>4170</v>
      </c>
      <c r="D826" s="169" t="s">
        <v>526</v>
      </c>
      <c r="E826" s="88">
        <v>1500</v>
      </c>
      <c r="F826" s="126"/>
      <c r="G826" s="88">
        <v>0</v>
      </c>
      <c r="H826" s="233"/>
      <c r="I826" s="242"/>
    </row>
    <row r="827" spans="1:9" ht="16.5" customHeight="1">
      <c r="A827" s="97"/>
      <c r="B827" s="77"/>
      <c r="C827" s="8">
        <v>4190</v>
      </c>
      <c r="D827" s="169" t="s">
        <v>175</v>
      </c>
      <c r="E827" s="88"/>
      <c r="F827" s="126"/>
      <c r="G827" s="88">
        <v>10000</v>
      </c>
      <c r="H827" s="233"/>
      <c r="I827" s="242"/>
    </row>
    <row r="828" spans="1:9" ht="16.5" customHeight="1">
      <c r="A828" s="80"/>
      <c r="B828" s="286"/>
      <c r="C828" s="2">
        <v>4210</v>
      </c>
      <c r="D828" s="169" t="s">
        <v>449</v>
      </c>
      <c r="E828" s="41">
        <v>4000</v>
      </c>
      <c r="F828" s="126"/>
      <c r="G828" s="41">
        <f>29900+10000</f>
        <v>39900</v>
      </c>
      <c r="H828" s="233"/>
      <c r="I828" s="242"/>
    </row>
    <row r="829" spans="1:9" ht="16.5" customHeight="1">
      <c r="A829" s="80"/>
      <c r="B829" s="286"/>
      <c r="C829" s="2">
        <v>4260</v>
      </c>
      <c r="D829" s="169" t="s">
        <v>533</v>
      </c>
      <c r="E829" s="41">
        <v>2000</v>
      </c>
      <c r="F829" s="126"/>
      <c r="G829" s="41">
        <v>0</v>
      </c>
      <c r="H829" s="233"/>
      <c r="I829" s="242"/>
    </row>
    <row r="830" spans="1:9" ht="16.5" customHeight="1">
      <c r="A830" s="80"/>
      <c r="B830" s="286"/>
      <c r="C830" s="2">
        <v>4300</v>
      </c>
      <c r="D830" s="169" t="s">
        <v>446</v>
      </c>
      <c r="E830" s="41">
        <v>23500</v>
      </c>
      <c r="F830" s="126"/>
      <c r="G830" s="41">
        <v>31500</v>
      </c>
      <c r="H830" s="233"/>
      <c r="I830" s="242"/>
    </row>
    <row r="831" spans="1:9" ht="16.5" customHeight="1">
      <c r="A831" s="80"/>
      <c r="B831" s="286"/>
      <c r="C831" s="2">
        <v>4430</v>
      </c>
      <c r="D831" s="169" t="s">
        <v>429</v>
      </c>
      <c r="E831" s="41"/>
      <c r="F831" s="126"/>
      <c r="G831" s="41">
        <v>2500</v>
      </c>
      <c r="H831" s="233"/>
      <c r="I831" s="242"/>
    </row>
    <row r="832" spans="1:9" ht="16.5" customHeight="1">
      <c r="A832" s="80"/>
      <c r="B832" s="286"/>
      <c r="C832" s="13">
        <v>6050</v>
      </c>
      <c r="D832" s="169" t="s">
        <v>293</v>
      </c>
      <c r="E832" s="41">
        <v>772810</v>
      </c>
      <c r="F832" s="126"/>
      <c r="G832" s="41">
        <v>0</v>
      </c>
      <c r="H832" s="233"/>
      <c r="I832" s="241"/>
    </row>
    <row r="833" spans="1:9" ht="24" customHeight="1">
      <c r="A833" s="58">
        <v>700</v>
      </c>
      <c r="B833" s="89"/>
      <c r="C833" s="10"/>
      <c r="D833" s="173" t="s">
        <v>512</v>
      </c>
      <c r="E833" s="33">
        <f>E834</f>
        <v>327137.34</v>
      </c>
      <c r="F833" s="33">
        <f>F834</f>
        <v>113978</v>
      </c>
      <c r="G833" s="33">
        <f>G834</f>
        <v>91747</v>
      </c>
      <c r="H833" s="83">
        <f>H834</f>
        <v>91747</v>
      </c>
      <c r="I833" s="215">
        <f>G833/E833*100</f>
        <v>28.04540747320376</v>
      </c>
    </row>
    <row r="834" spans="1:9" ht="20.25" customHeight="1">
      <c r="A834" s="96"/>
      <c r="B834" s="74">
        <v>70005</v>
      </c>
      <c r="C834" s="24"/>
      <c r="D834" s="174" t="s">
        <v>342</v>
      </c>
      <c r="E834" s="90">
        <f>SUM(E835:E843)</f>
        <v>327137.34</v>
      </c>
      <c r="F834" s="90">
        <f>SUM(F835:F843)</f>
        <v>113978</v>
      </c>
      <c r="G834" s="90">
        <f>SUM(G835:G843)</f>
        <v>91747</v>
      </c>
      <c r="H834" s="90">
        <f>SUM(H835:H843)</f>
        <v>91747</v>
      </c>
      <c r="I834" s="242">
        <f>G834/E834*100</f>
        <v>28.04540747320376</v>
      </c>
    </row>
    <row r="835" spans="1:9" ht="16.5" customHeight="1">
      <c r="A835" s="97"/>
      <c r="B835" s="77"/>
      <c r="C835" s="2">
        <v>4010</v>
      </c>
      <c r="D835" s="169" t="s">
        <v>492</v>
      </c>
      <c r="E835" s="52">
        <v>205814.38</v>
      </c>
      <c r="F835" s="52">
        <v>42569.38</v>
      </c>
      <c r="G835" s="26">
        <v>33738</v>
      </c>
      <c r="H835" s="26">
        <v>33738</v>
      </c>
      <c r="I835" s="289"/>
    </row>
    <row r="836" spans="1:9" ht="16.5" customHeight="1">
      <c r="A836" s="97"/>
      <c r="B836" s="77"/>
      <c r="C836" s="2">
        <v>4040</v>
      </c>
      <c r="D836" s="169" t="s">
        <v>493</v>
      </c>
      <c r="E836" s="52">
        <v>16400</v>
      </c>
      <c r="F836" s="52">
        <v>2778</v>
      </c>
      <c r="G836" s="26">
        <v>11500</v>
      </c>
      <c r="H836" s="26">
        <v>11500</v>
      </c>
      <c r="I836" s="242"/>
    </row>
    <row r="837" spans="1:9" ht="16.5" customHeight="1">
      <c r="A837" s="97"/>
      <c r="B837" s="77"/>
      <c r="C837" s="2">
        <v>4110</v>
      </c>
      <c r="D837" s="169" t="s">
        <v>519</v>
      </c>
      <c r="E837" s="52">
        <v>38000</v>
      </c>
      <c r="F837" s="52">
        <v>6228</v>
      </c>
      <c r="G837" s="26">
        <v>7776</v>
      </c>
      <c r="H837" s="26">
        <v>7776</v>
      </c>
      <c r="I837" s="242"/>
    </row>
    <row r="838" spans="1:9" ht="16.5" customHeight="1">
      <c r="A838" s="97"/>
      <c r="B838" s="77"/>
      <c r="C838" s="2">
        <v>4120</v>
      </c>
      <c r="D838" s="169" t="s">
        <v>520</v>
      </c>
      <c r="E838" s="52">
        <v>5050</v>
      </c>
      <c r="F838" s="52">
        <v>1005</v>
      </c>
      <c r="G838" s="26">
        <v>1108</v>
      </c>
      <c r="H838" s="26">
        <v>1108</v>
      </c>
      <c r="I838" s="242"/>
    </row>
    <row r="839" spans="1:9" ht="16.5" customHeight="1">
      <c r="A839" s="80"/>
      <c r="B839" s="286"/>
      <c r="C839" s="2">
        <v>4300</v>
      </c>
      <c r="D839" s="169" t="s">
        <v>446</v>
      </c>
      <c r="E839" s="52">
        <v>46000</v>
      </c>
      <c r="F839" s="52">
        <v>46000</v>
      </c>
      <c r="G839" s="26">
        <v>10000</v>
      </c>
      <c r="H839" s="26">
        <v>10000</v>
      </c>
      <c r="I839" s="242"/>
    </row>
    <row r="840" spans="1:9" ht="29.25" customHeight="1">
      <c r="A840" s="80"/>
      <c r="B840" s="286"/>
      <c r="C840" s="2">
        <v>4390</v>
      </c>
      <c r="D840" s="169" t="s">
        <v>354</v>
      </c>
      <c r="E840" s="52">
        <v>984</v>
      </c>
      <c r="F840" s="52">
        <v>984</v>
      </c>
      <c r="G840" s="26"/>
      <c r="H840" s="26"/>
      <c r="I840" s="242"/>
    </row>
    <row r="841" spans="1:9" ht="26.25" customHeight="1">
      <c r="A841" s="80"/>
      <c r="B841" s="286"/>
      <c r="C841" s="2">
        <v>4440</v>
      </c>
      <c r="D841" s="169" t="s">
        <v>521</v>
      </c>
      <c r="E841" s="52">
        <v>3372.96</v>
      </c>
      <c r="F841" s="52">
        <v>2897.62</v>
      </c>
      <c r="G841" s="26">
        <v>4625</v>
      </c>
      <c r="H841" s="26">
        <v>4625</v>
      </c>
      <c r="I841" s="242"/>
    </row>
    <row r="842" spans="1:9" ht="16.5" customHeight="1">
      <c r="A842" s="80"/>
      <c r="B842" s="286"/>
      <c r="C842" s="2">
        <v>4480</v>
      </c>
      <c r="D842" s="169" t="s">
        <v>367</v>
      </c>
      <c r="E842" s="52">
        <v>4500</v>
      </c>
      <c r="F842" s="52">
        <v>4500</v>
      </c>
      <c r="G842" s="26">
        <v>20000</v>
      </c>
      <c r="H842" s="26">
        <v>20000</v>
      </c>
      <c r="I842" s="242"/>
    </row>
    <row r="843" spans="1:9" ht="24" customHeight="1">
      <c r="A843" s="80"/>
      <c r="B843" s="286"/>
      <c r="C843" s="2">
        <v>4610</v>
      </c>
      <c r="D843" s="169" t="s">
        <v>508</v>
      </c>
      <c r="E843" s="52">
        <v>7016</v>
      </c>
      <c r="F843" s="52">
        <v>7016</v>
      </c>
      <c r="G843" s="26">
        <v>3000</v>
      </c>
      <c r="H843" s="26">
        <v>3000</v>
      </c>
      <c r="I843" s="241"/>
    </row>
    <row r="844" spans="1:9" s="53" customFormat="1" ht="24" customHeight="1">
      <c r="A844" s="58">
        <v>710</v>
      </c>
      <c r="B844" s="57"/>
      <c r="C844" s="10"/>
      <c r="D844" s="173" t="s">
        <v>513</v>
      </c>
      <c r="E844" s="33">
        <f>E845+E850+E852+E854</f>
        <v>847800</v>
      </c>
      <c r="F844" s="230">
        <f>F845+F850+F852+F854</f>
        <v>487800</v>
      </c>
      <c r="G844" s="33">
        <f>G845+G850+G852+G854</f>
        <v>855000</v>
      </c>
      <c r="H844" s="302">
        <f>H845+H850+H852+H854</f>
        <v>495000</v>
      </c>
      <c r="I844" s="215">
        <f>G844/E844*100</f>
        <v>100.84925690021231</v>
      </c>
    </row>
    <row r="845" spans="1:9" ht="20.25" customHeight="1">
      <c r="A845" s="102"/>
      <c r="B845" s="46">
        <v>71012</v>
      </c>
      <c r="C845" s="24"/>
      <c r="D845" s="174" t="s">
        <v>407</v>
      </c>
      <c r="E845" s="28">
        <f>SUM(E846:E849)</f>
        <v>128000</v>
      </c>
      <c r="F845" s="166"/>
      <c r="G845" s="28">
        <f>SUM(G846:G849)</f>
        <v>468000</v>
      </c>
      <c r="H845" s="28">
        <f>SUM(H846:H849)</f>
        <v>108000</v>
      </c>
      <c r="I845" s="242">
        <f>G845/E845*100</f>
        <v>365.625</v>
      </c>
    </row>
    <row r="846" spans="1:9" ht="16.5" customHeight="1">
      <c r="A846" s="70"/>
      <c r="B846" s="61"/>
      <c r="C846" s="8">
        <v>4210</v>
      </c>
      <c r="D846" s="169" t="s">
        <v>449</v>
      </c>
      <c r="E846" s="26">
        <v>55000</v>
      </c>
      <c r="F846" s="126"/>
      <c r="G846" s="26">
        <v>20000</v>
      </c>
      <c r="H846" s="233"/>
      <c r="I846" s="289"/>
    </row>
    <row r="847" spans="1:9" ht="16.5" customHeight="1">
      <c r="A847" s="70"/>
      <c r="B847" s="61"/>
      <c r="C847" s="2">
        <v>4270</v>
      </c>
      <c r="D847" s="169" t="s">
        <v>450</v>
      </c>
      <c r="E847" s="26">
        <v>3000</v>
      </c>
      <c r="F847" s="126"/>
      <c r="G847" s="26">
        <v>3000</v>
      </c>
      <c r="H847" s="233"/>
      <c r="I847" s="242"/>
    </row>
    <row r="848" spans="1:9" ht="16.5" customHeight="1">
      <c r="A848" s="70"/>
      <c r="B848" s="61"/>
      <c r="C848" s="8">
        <v>4300</v>
      </c>
      <c r="D848" s="169" t="s">
        <v>446</v>
      </c>
      <c r="E848" s="26">
        <v>50000</v>
      </c>
      <c r="F848" s="126"/>
      <c r="G848" s="26">
        <f>8000+417000</f>
        <v>425000</v>
      </c>
      <c r="H848" s="233">
        <f>8000+100000</f>
        <v>108000</v>
      </c>
      <c r="I848" s="242"/>
    </row>
    <row r="849" spans="1:9" ht="24" customHeight="1">
      <c r="A849" s="70"/>
      <c r="B849" s="68"/>
      <c r="C849" s="8">
        <v>6060</v>
      </c>
      <c r="D849" s="169" t="s">
        <v>538</v>
      </c>
      <c r="E849" s="26">
        <v>20000</v>
      </c>
      <c r="F849" s="87"/>
      <c r="G849" s="26">
        <v>20000</v>
      </c>
      <c r="H849" s="127"/>
      <c r="I849" s="242"/>
    </row>
    <row r="850" spans="1:9" ht="23.25" customHeight="1">
      <c r="A850" s="97"/>
      <c r="B850" s="104">
        <v>71013</v>
      </c>
      <c r="C850" s="24"/>
      <c r="D850" s="174" t="s">
        <v>514</v>
      </c>
      <c r="E850" s="90">
        <f>E851</f>
        <v>332000</v>
      </c>
      <c r="F850" s="231">
        <f>F851</f>
        <v>100000</v>
      </c>
      <c r="G850" s="90">
        <f>G851</f>
        <v>0</v>
      </c>
      <c r="H850" s="150">
        <f>H851</f>
        <v>0</v>
      </c>
      <c r="I850" s="242"/>
    </row>
    <row r="851" spans="1:9" ht="15.75" customHeight="1">
      <c r="A851" s="80"/>
      <c r="B851" s="286"/>
      <c r="C851" s="2">
        <v>4300</v>
      </c>
      <c r="D851" s="169" t="s">
        <v>446</v>
      </c>
      <c r="E851" s="52">
        <v>332000</v>
      </c>
      <c r="F851" s="220">
        <v>100000</v>
      </c>
      <c r="G851" s="52"/>
      <c r="H851" s="55"/>
      <c r="I851" s="242"/>
    </row>
    <row r="852" spans="1:9" ht="20.25" customHeight="1">
      <c r="A852" s="97"/>
      <c r="B852" s="74">
        <v>71014</v>
      </c>
      <c r="C852" s="24"/>
      <c r="D852" s="174" t="s">
        <v>515</v>
      </c>
      <c r="E852" s="90">
        <f>E853</f>
        <v>10000</v>
      </c>
      <c r="F852" s="90">
        <f>F853</f>
        <v>10000</v>
      </c>
      <c r="G852" s="90">
        <f>G853</f>
        <v>0</v>
      </c>
      <c r="H852" s="28">
        <f>H853</f>
        <v>0</v>
      </c>
      <c r="I852" s="242"/>
    </row>
    <row r="853" spans="1:9" ht="17.25" customHeight="1">
      <c r="A853" s="80"/>
      <c r="B853" s="286"/>
      <c r="C853" s="2">
        <v>4300</v>
      </c>
      <c r="D853" s="169" t="s">
        <v>446</v>
      </c>
      <c r="E853" s="95">
        <v>10000</v>
      </c>
      <c r="F853" s="220">
        <v>10000</v>
      </c>
      <c r="G853" s="52"/>
      <c r="H853" s="55"/>
      <c r="I853" s="241"/>
    </row>
    <row r="854" spans="1:9" ht="20.25" customHeight="1">
      <c r="A854" s="80"/>
      <c r="B854" s="23">
        <v>71015</v>
      </c>
      <c r="C854" s="24"/>
      <c r="D854" s="174" t="s">
        <v>327</v>
      </c>
      <c r="E854" s="90">
        <f>SUM(E855:E870)</f>
        <v>377800</v>
      </c>
      <c r="F854" s="90">
        <f>SUM(F855:F870)</f>
        <v>377800</v>
      </c>
      <c r="G854" s="90">
        <f>SUM(G855:G870)</f>
        <v>387000</v>
      </c>
      <c r="H854" s="28">
        <f>SUM(H855:H870)</f>
        <v>387000</v>
      </c>
      <c r="I854" s="242">
        <f>G854/E854*100</f>
        <v>102.43515087347804</v>
      </c>
    </row>
    <row r="855" spans="1:9" ht="23.25" customHeight="1">
      <c r="A855" s="80"/>
      <c r="B855" s="9"/>
      <c r="C855" s="2">
        <v>3020</v>
      </c>
      <c r="D855" s="169" t="s">
        <v>284</v>
      </c>
      <c r="E855" s="52">
        <v>1100</v>
      </c>
      <c r="F855" s="52">
        <v>1100</v>
      </c>
      <c r="G855" s="52">
        <v>1100</v>
      </c>
      <c r="H855" s="26">
        <v>1100</v>
      </c>
      <c r="I855" s="289"/>
    </row>
    <row r="856" spans="1:9" ht="16.5" customHeight="1">
      <c r="A856" s="80"/>
      <c r="B856" s="9"/>
      <c r="C856" s="2">
        <v>4010</v>
      </c>
      <c r="D856" s="169" t="s">
        <v>492</v>
      </c>
      <c r="E856" s="52">
        <v>78758</v>
      </c>
      <c r="F856" s="52">
        <v>78758</v>
      </c>
      <c r="G856" s="52">
        <v>84098</v>
      </c>
      <c r="H856" s="26">
        <v>84098</v>
      </c>
      <c r="I856" s="242"/>
    </row>
    <row r="857" spans="1:9" ht="24" customHeight="1">
      <c r="A857" s="80"/>
      <c r="B857" s="9"/>
      <c r="C857" s="2">
        <v>4020</v>
      </c>
      <c r="D857" s="169" t="s">
        <v>232</v>
      </c>
      <c r="E857" s="52">
        <v>151562</v>
      </c>
      <c r="F857" s="52">
        <v>151562</v>
      </c>
      <c r="G857" s="52">
        <v>177768</v>
      </c>
      <c r="H857" s="26">
        <v>177768</v>
      </c>
      <c r="I857" s="242"/>
    </row>
    <row r="858" spans="1:9" ht="16.5" customHeight="1">
      <c r="A858" s="80"/>
      <c r="B858" s="9"/>
      <c r="C858" s="2">
        <v>4040</v>
      </c>
      <c r="D858" s="169" t="s">
        <v>493</v>
      </c>
      <c r="E858" s="52">
        <v>18317</v>
      </c>
      <c r="F858" s="52">
        <v>18317</v>
      </c>
      <c r="G858" s="52">
        <v>18842</v>
      </c>
      <c r="H858" s="26">
        <v>18842</v>
      </c>
      <c r="I858" s="242"/>
    </row>
    <row r="859" spans="1:9" ht="16.5" customHeight="1">
      <c r="A859" s="80"/>
      <c r="B859" s="9"/>
      <c r="C859" s="2">
        <v>4110</v>
      </c>
      <c r="D859" s="169" t="s">
        <v>519</v>
      </c>
      <c r="E859" s="52">
        <v>44949</v>
      </c>
      <c r="F859" s="52">
        <v>44949</v>
      </c>
      <c r="G859" s="52">
        <v>53072</v>
      </c>
      <c r="H859" s="26">
        <v>53072</v>
      </c>
      <c r="I859" s="242"/>
    </row>
    <row r="860" spans="1:9" ht="16.5" customHeight="1">
      <c r="A860" s="80"/>
      <c r="B860" s="9"/>
      <c r="C860" s="2">
        <v>4120</v>
      </c>
      <c r="D860" s="169" t="s">
        <v>520</v>
      </c>
      <c r="E860" s="52">
        <v>6055</v>
      </c>
      <c r="F860" s="52">
        <v>6055</v>
      </c>
      <c r="G860" s="52">
        <v>7054</v>
      </c>
      <c r="H860" s="26">
        <v>7054</v>
      </c>
      <c r="I860" s="242"/>
    </row>
    <row r="861" spans="1:9" ht="16.5" customHeight="1">
      <c r="A861" s="80"/>
      <c r="B861" s="9"/>
      <c r="C861" s="2">
        <v>4170</v>
      </c>
      <c r="D861" s="169" t="s">
        <v>526</v>
      </c>
      <c r="E861" s="52">
        <v>2600</v>
      </c>
      <c r="F861" s="52">
        <v>2600</v>
      </c>
      <c r="G861" s="52">
        <v>6000</v>
      </c>
      <c r="H861" s="26">
        <v>6000</v>
      </c>
      <c r="I861" s="242"/>
    </row>
    <row r="862" spans="1:9" ht="16.5" customHeight="1">
      <c r="A862" s="80"/>
      <c r="B862" s="9"/>
      <c r="C862" s="2">
        <v>4210</v>
      </c>
      <c r="D862" s="169" t="s">
        <v>449</v>
      </c>
      <c r="E862" s="52">
        <v>19865</v>
      </c>
      <c r="F862" s="52">
        <v>19865</v>
      </c>
      <c r="G862" s="52">
        <v>1564</v>
      </c>
      <c r="H862" s="26">
        <v>1564</v>
      </c>
      <c r="I862" s="242"/>
    </row>
    <row r="863" spans="1:9" ht="16.5" customHeight="1">
      <c r="A863" s="80"/>
      <c r="B863" s="9"/>
      <c r="C863" s="2">
        <v>4270</v>
      </c>
      <c r="D863" s="169" t="s">
        <v>450</v>
      </c>
      <c r="E863" s="52">
        <v>500</v>
      </c>
      <c r="F863" s="52">
        <v>500</v>
      </c>
      <c r="G863" s="52">
        <v>500</v>
      </c>
      <c r="H863" s="26">
        <v>500</v>
      </c>
      <c r="I863" s="242"/>
    </row>
    <row r="864" spans="1:9" ht="16.5" customHeight="1">
      <c r="A864" s="80"/>
      <c r="B864" s="9"/>
      <c r="C864" s="2">
        <v>4280</v>
      </c>
      <c r="D864" s="169" t="s">
        <v>286</v>
      </c>
      <c r="E864" s="52">
        <v>150</v>
      </c>
      <c r="F864" s="52">
        <v>150</v>
      </c>
      <c r="G864" s="52">
        <v>300</v>
      </c>
      <c r="H864" s="26">
        <v>300</v>
      </c>
      <c r="I864" s="242"/>
    </row>
    <row r="865" spans="1:9" ht="16.5" customHeight="1">
      <c r="A865" s="80"/>
      <c r="B865" s="9"/>
      <c r="C865" s="2">
        <v>4300</v>
      </c>
      <c r="D865" s="169" t="s">
        <v>446</v>
      </c>
      <c r="E865" s="52">
        <v>31662</v>
      </c>
      <c r="F865" s="52">
        <v>31662</v>
      </c>
      <c r="G865" s="52">
        <v>14000</v>
      </c>
      <c r="H865" s="26">
        <v>14000</v>
      </c>
      <c r="I865" s="242"/>
    </row>
    <row r="866" spans="1:9" ht="23.25" customHeight="1">
      <c r="A866" s="80"/>
      <c r="B866" s="9"/>
      <c r="C866" s="2">
        <v>4360</v>
      </c>
      <c r="D866" s="169" t="s">
        <v>216</v>
      </c>
      <c r="E866" s="52">
        <v>300</v>
      </c>
      <c r="F866" s="52">
        <v>300</v>
      </c>
      <c r="G866" s="52">
        <v>720</v>
      </c>
      <c r="H866" s="26">
        <v>720</v>
      </c>
      <c r="I866" s="242"/>
    </row>
    <row r="867" spans="1:9" ht="16.5" customHeight="1">
      <c r="A867" s="80"/>
      <c r="B867" s="9"/>
      <c r="C867" s="2">
        <v>4410</v>
      </c>
      <c r="D867" s="169" t="s">
        <v>523</v>
      </c>
      <c r="E867" s="52">
        <v>9375</v>
      </c>
      <c r="F867" s="52">
        <v>9375</v>
      </c>
      <c r="G867" s="52">
        <v>9375</v>
      </c>
      <c r="H867" s="26">
        <v>9375</v>
      </c>
      <c r="I867" s="242"/>
    </row>
    <row r="868" spans="1:9" ht="24" customHeight="1">
      <c r="A868" s="80"/>
      <c r="B868" s="9"/>
      <c r="C868" s="13">
        <v>4440</v>
      </c>
      <c r="D868" s="169" t="s">
        <v>521</v>
      </c>
      <c r="E868" s="52">
        <v>5607</v>
      </c>
      <c r="F868" s="52">
        <v>5607</v>
      </c>
      <c r="G868" s="52">
        <v>5607</v>
      </c>
      <c r="H868" s="26">
        <v>5607</v>
      </c>
      <c r="I868" s="242"/>
    </row>
    <row r="869" spans="1:9" ht="15.75" customHeight="1">
      <c r="A869" s="80"/>
      <c r="B869" s="9"/>
      <c r="C869" s="13">
        <v>4550</v>
      </c>
      <c r="D869" s="169" t="s">
        <v>326</v>
      </c>
      <c r="E869" s="52">
        <v>3500</v>
      </c>
      <c r="F869" s="52">
        <v>3500</v>
      </c>
      <c r="G869" s="52">
        <v>3500</v>
      </c>
      <c r="H869" s="26">
        <v>3500</v>
      </c>
      <c r="I869" s="242"/>
    </row>
    <row r="870" spans="1:9" ht="23.25" customHeight="1">
      <c r="A870" s="80"/>
      <c r="B870" s="9"/>
      <c r="C870" s="2">
        <v>4700</v>
      </c>
      <c r="D870" s="169" t="s">
        <v>418</v>
      </c>
      <c r="E870" s="52">
        <v>3500</v>
      </c>
      <c r="F870" s="52">
        <v>3500</v>
      </c>
      <c r="G870" s="52">
        <v>3500</v>
      </c>
      <c r="H870" s="26">
        <v>3500</v>
      </c>
      <c r="I870" s="241"/>
    </row>
    <row r="871" spans="1:9" ht="24" customHeight="1">
      <c r="A871" s="57">
        <v>750</v>
      </c>
      <c r="B871" s="57"/>
      <c r="C871" s="10"/>
      <c r="D871" s="173" t="s">
        <v>344</v>
      </c>
      <c r="E871" s="33">
        <f>E872+E878+E890</f>
        <v>4970537.66</v>
      </c>
      <c r="F871" s="226">
        <f>F872+F878+F890</f>
        <v>462887</v>
      </c>
      <c r="G871" s="33">
        <f>G872+G878+G890</f>
        <v>5388705</v>
      </c>
      <c r="H871" s="303">
        <f>H872+H878+H890</f>
        <v>168032</v>
      </c>
      <c r="I871" s="215">
        <f>G871/E871*100</f>
        <v>108.41291965988242</v>
      </c>
    </row>
    <row r="872" spans="1:9" ht="20.25" customHeight="1">
      <c r="A872" s="75"/>
      <c r="B872" s="74">
        <v>75011</v>
      </c>
      <c r="C872" s="35"/>
      <c r="D872" s="174" t="s">
        <v>491</v>
      </c>
      <c r="E872" s="90">
        <f>SUM(E873:E877)</f>
        <v>930814.66</v>
      </c>
      <c r="F872" s="224">
        <f>SUM(F873:F877)</f>
        <v>439887</v>
      </c>
      <c r="G872" s="90">
        <f>SUM(G873:G877)</f>
        <v>145032</v>
      </c>
      <c r="H872" s="38">
        <f>SUM(H873:H877)</f>
        <v>145032</v>
      </c>
      <c r="I872" s="242">
        <f>G872/E872*100</f>
        <v>15.581189922384764</v>
      </c>
    </row>
    <row r="873" spans="1:9" ht="15.75" customHeight="1">
      <c r="A873" s="80"/>
      <c r="B873" s="77"/>
      <c r="C873" s="2">
        <v>4010</v>
      </c>
      <c r="D873" s="169" t="s">
        <v>492</v>
      </c>
      <c r="E873" s="52">
        <f>471864.26+246573</f>
        <v>718437.26</v>
      </c>
      <c r="F873" s="52">
        <f>109622.26+246573</f>
        <v>356195.26</v>
      </c>
      <c r="G873" s="52">
        <v>55475</v>
      </c>
      <c r="H873" s="26">
        <v>55475</v>
      </c>
      <c r="I873" s="289"/>
    </row>
    <row r="874" spans="1:9" ht="15.75" customHeight="1">
      <c r="A874" s="80"/>
      <c r="B874" s="77"/>
      <c r="C874" s="2">
        <v>4040</v>
      </c>
      <c r="D874" s="169" t="s">
        <v>493</v>
      </c>
      <c r="E874" s="52">
        <v>51378</v>
      </c>
      <c r="F874" s="52">
        <v>6852</v>
      </c>
      <c r="G874" s="52">
        <v>49450</v>
      </c>
      <c r="H874" s="26">
        <v>49450</v>
      </c>
      <c r="I874" s="242"/>
    </row>
    <row r="875" spans="1:9" ht="15.75" customHeight="1">
      <c r="A875" s="80"/>
      <c r="B875" s="77"/>
      <c r="C875" s="2">
        <v>4110</v>
      </c>
      <c r="D875" s="169" t="s">
        <v>519</v>
      </c>
      <c r="E875" s="52">
        <f>85538+42386</f>
        <v>127924</v>
      </c>
      <c r="F875" s="52">
        <f>15361+42386</f>
        <v>57747</v>
      </c>
      <c r="G875" s="52">
        <v>18037</v>
      </c>
      <c r="H875" s="26">
        <v>18037</v>
      </c>
      <c r="I875" s="242"/>
    </row>
    <row r="876" spans="1:9" ht="15.75" customHeight="1">
      <c r="A876" s="80"/>
      <c r="B876" s="77"/>
      <c r="C876" s="2">
        <v>4120</v>
      </c>
      <c r="D876" s="169" t="s">
        <v>520</v>
      </c>
      <c r="E876" s="52">
        <f>9805+6041</f>
        <v>15846</v>
      </c>
      <c r="F876" s="52">
        <f>2477+6041</f>
        <v>8518</v>
      </c>
      <c r="G876" s="52">
        <v>2570</v>
      </c>
      <c r="H876" s="26">
        <v>2570</v>
      </c>
      <c r="I876" s="242"/>
    </row>
    <row r="877" spans="1:9" ht="24" customHeight="1">
      <c r="A877" s="80"/>
      <c r="B877" s="77"/>
      <c r="C877" s="13">
        <v>4440</v>
      </c>
      <c r="D877" s="169" t="s">
        <v>521</v>
      </c>
      <c r="E877" s="52">
        <v>17229.4</v>
      </c>
      <c r="F877" s="52">
        <v>10574.74</v>
      </c>
      <c r="G877" s="52">
        <v>19500</v>
      </c>
      <c r="H877" s="26">
        <v>19500</v>
      </c>
      <c r="I877" s="241"/>
    </row>
    <row r="878" spans="1:9" ht="20.25" customHeight="1">
      <c r="A878" s="97"/>
      <c r="B878" s="46">
        <v>75020</v>
      </c>
      <c r="C878" s="24"/>
      <c r="D878" s="174" t="s">
        <v>516</v>
      </c>
      <c r="E878" s="90">
        <f>SUM(E879:E889)</f>
        <v>4013723.0000000005</v>
      </c>
      <c r="F878" s="52"/>
      <c r="G878" s="90">
        <f>SUM(G879:G889)</f>
        <v>5217673</v>
      </c>
      <c r="H878" s="26"/>
      <c r="I878" s="242">
        <f>G878/E878*100</f>
        <v>129.99584176586177</v>
      </c>
    </row>
    <row r="879" spans="1:9" ht="16.5" customHeight="1">
      <c r="A879" s="79"/>
      <c r="B879" s="80"/>
      <c r="C879" s="8">
        <v>4010</v>
      </c>
      <c r="D879" s="169" t="s">
        <v>492</v>
      </c>
      <c r="E879" s="52">
        <v>2094821.78</v>
      </c>
      <c r="F879" s="220"/>
      <c r="G879" s="52">
        <f>10000+3001899+7048+50000</f>
        <v>3068947</v>
      </c>
      <c r="H879" s="55"/>
      <c r="I879" s="289"/>
    </row>
    <row r="880" spans="1:9" ht="16.5" customHeight="1">
      <c r="A880" s="79"/>
      <c r="B880" s="80"/>
      <c r="C880" s="8">
        <v>4040</v>
      </c>
      <c r="D880" s="169" t="s">
        <v>493</v>
      </c>
      <c r="E880" s="52">
        <v>178000</v>
      </c>
      <c r="F880" s="220"/>
      <c r="G880" s="52">
        <v>188900</v>
      </c>
      <c r="H880" s="55"/>
      <c r="I880" s="242"/>
    </row>
    <row r="881" spans="1:9" ht="16.5" customHeight="1">
      <c r="A881" s="79"/>
      <c r="B881" s="80"/>
      <c r="C881" s="8">
        <v>4110</v>
      </c>
      <c r="D881" s="169" t="s">
        <v>519</v>
      </c>
      <c r="E881" s="52">
        <v>402300</v>
      </c>
      <c r="F881" s="220"/>
      <c r="G881" s="52">
        <v>549076</v>
      </c>
      <c r="H881" s="55"/>
      <c r="I881" s="242"/>
    </row>
    <row r="882" spans="1:9" ht="16.5" customHeight="1">
      <c r="A882" s="79"/>
      <c r="B882" s="80"/>
      <c r="C882" s="8">
        <v>4120</v>
      </c>
      <c r="D882" s="169" t="s">
        <v>520</v>
      </c>
      <c r="E882" s="52">
        <v>54460</v>
      </c>
      <c r="F882" s="220"/>
      <c r="G882" s="52">
        <v>79000</v>
      </c>
      <c r="H882" s="55"/>
      <c r="I882" s="242"/>
    </row>
    <row r="883" spans="1:9" ht="16.5" customHeight="1">
      <c r="A883" s="79"/>
      <c r="B883" s="80"/>
      <c r="C883" s="8">
        <v>4300</v>
      </c>
      <c r="D883" s="169" t="s">
        <v>428</v>
      </c>
      <c r="E883" s="52">
        <v>1169799</v>
      </c>
      <c r="F883" s="220"/>
      <c r="G883" s="52">
        <v>1200000</v>
      </c>
      <c r="H883" s="55"/>
      <c r="I883" s="242"/>
    </row>
    <row r="884" spans="1:9" ht="16.5" customHeight="1">
      <c r="A884" s="79"/>
      <c r="B884" s="80"/>
      <c r="C884" s="8">
        <v>4380</v>
      </c>
      <c r="D884" s="169" t="s">
        <v>423</v>
      </c>
      <c r="E884" s="52">
        <v>3000</v>
      </c>
      <c r="F884" s="220"/>
      <c r="G884" s="52">
        <v>4000</v>
      </c>
      <c r="H884" s="55"/>
      <c r="I884" s="242"/>
    </row>
    <row r="885" spans="1:9" ht="24" customHeight="1">
      <c r="A885" s="79"/>
      <c r="B885" s="80"/>
      <c r="C885" s="8">
        <v>4390</v>
      </c>
      <c r="D885" s="169" t="s">
        <v>354</v>
      </c>
      <c r="E885" s="52">
        <v>36201</v>
      </c>
      <c r="F885" s="220"/>
      <c r="G885" s="52">
        <v>40000</v>
      </c>
      <c r="H885" s="55"/>
      <c r="I885" s="242"/>
    </row>
    <row r="886" spans="1:9" ht="24.75" customHeight="1">
      <c r="A886" s="79"/>
      <c r="B886" s="80"/>
      <c r="C886" s="8">
        <v>4440</v>
      </c>
      <c r="D886" s="169" t="s">
        <v>521</v>
      </c>
      <c r="E886" s="52">
        <v>51141.22</v>
      </c>
      <c r="F886" s="220"/>
      <c r="G886" s="52">
        <v>75750</v>
      </c>
      <c r="H886" s="55"/>
      <c r="I886" s="242"/>
    </row>
    <row r="887" spans="1:9" ht="15.75" customHeight="1">
      <c r="A887" s="79"/>
      <c r="B887" s="80"/>
      <c r="C887" s="8">
        <v>4580</v>
      </c>
      <c r="D887" s="169" t="s">
        <v>359</v>
      </c>
      <c r="E887" s="52">
        <v>8000</v>
      </c>
      <c r="F887" s="220"/>
      <c r="G887" s="52">
        <v>4000</v>
      </c>
      <c r="H887" s="55"/>
      <c r="I887" s="242"/>
    </row>
    <row r="888" spans="1:9" ht="24" customHeight="1">
      <c r="A888" s="79"/>
      <c r="B888" s="80"/>
      <c r="C888" s="8">
        <v>4590</v>
      </c>
      <c r="D888" s="169" t="s">
        <v>451</v>
      </c>
      <c r="E888" s="52">
        <v>8000</v>
      </c>
      <c r="F888" s="220"/>
      <c r="G888" s="72">
        <v>4000</v>
      </c>
      <c r="H888" s="55"/>
      <c r="I888" s="242"/>
    </row>
    <row r="889" spans="1:9" ht="24" customHeight="1">
      <c r="A889" s="79"/>
      <c r="B889" s="85"/>
      <c r="C889" s="8">
        <v>4610</v>
      </c>
      <c r="D889" s="169" t="s">
        <v>508</v>
      </c>
      <c r="E889" s="72">
        <v>8000</v>
      </c>
      <c r="F889" s="220"/>
      <c r="G889" s="72">
        <v>4000</v>
      </c>
      <c r="H889" s="55"/>
      <c r="I889" s="241"/>
    </row>
    <row r="890" spans="1:9" ht="20.25" customHeight="1">
      <c r="A890" s="80"/>
      <c r="B890" s="104">
        <v>75045</v>
      </c>
      <c r="C890" s="24"/>
      <c r="D890" s="193" t="s">
        <v>483</v>
      </c>
      <c r="E890" s="90">
        <f>SUM(E891:E896)</f>
        <v>26000</v>
      </c>
      <c r="F890" s="90">
        <f>SUM(F891:F896)</f>
        <v>23000</v>
      </c>
      <c r="G890" s="90">
        <f>SUM(G891:G896)</f>
        <v>26000</v>
      </c>
      <c r="H890" s="28">
        <f>SUM(H891:H896)</f>
        <v>23000</v>
      </c>
      <c r="I890" s="242">
        <f>G890/E890*100</f>
        <v>100</v>
      </c>
    </row>
    <row r="891" spans="1:9" ht="16.5" customHeight="1">
      <c r="A891" s="80"/>
      <c r="B891" s="286"/>
      <c r="C891" s="2">
        <v>3030</v>
      </c>
      <c r="D891" s="169" t="s">
        <v>542</v>
      </c>
      <c r="E891" s="95">
        <v>10</v>
      </c>
      <c r="F891" s="52">
        <v>10</v>
      </c>
      <c r="G891" s="26">
        <v>10</v>
      </c>
      <c r="H891" s="26">
        <v>10</v>
      </c>
      <c r="I891" s="289"/>
    </row>
    <row r="892" spans="1:9" ht="16.5" customHeight="1">
      <c r="A892" s="80"/>
      <c r="B892" s="286"/>
      <c r="C892" s="2">
        <v>4110</v>
      </c>
      <c r="D892" s="169" t="s">
        <v>519</v>
      </c>
      <c r="E892" s="95">
        <v>1684.62</v>
      </c>
      <c r="F892" s="52">
        <v>1684.62</v>
      </c>
      <c r="G892" s="26">
        <v>1684.62</v>
      </c>
      <c r="H892" s="26">
        <v>1684.62</v>
      </c>
      <c r="I892" s="242"/>
    </row>
    <row r="893" spans="1:9" ht="16.5" customHeight="1">
      <c r="A893" s="80"/>
      <c r="B893" s="286"/>
      <c r="C893" s="2">
        <v>4120</v>
      </c>
      <c r="D893" s="169" t="s">
        <v>520</v>
      </c>
      <c r="E893" s="95">
        <v>230</v>
      </c>
      <c r="F893" s="52">
        <v>230</v>
      </c>
      <c r="G893" s="26">
        <v>230</v>
      </c>
      <c r="H893" s="26">
        <v>230</v>
      </c>
      <c r="I893" s="242"/>
    </row>
    <row r="894" spans="1:9" ht="16.5" customHeight="1">
      <c r="A894" s="80"/>
      <c r="B894" s="286"/>
      <c r="C894" s="2">
        <v>4170</v>
      </c>
      <c r="D894" s="169" t="s">
        <v>526</v>
      </c>
      <c r="E894" s="95">
        <v>18200</v>
      </c>
      <c r="F894" s="52">
        <v>18200</v>
      </c>
      <c r="G894" s="26">
        <v>18200</v>
      </c>
      <c r="H894" s="26">
        <v>18200</v>
      </c>
      <c r="I894" s="242"/>
    </row>
    <row r="895" spans="1:9" ht="16.5" customHeight="1">
      <c r="A895" s="80"/>
      <c r="B895" s="286"/>
      <c r="C895" s="2">
        <v>4210</v>
      </c>
      <c r="D895" s="169" t="s">
        <v>449</v>
      </c>
      <c r="E895" s="95">
        <v>2000</v>
      </c>
      <c r="F895" s="52">
        <v>2000</v>
      </c>
      <c r="G895" s="26">
        <v>2000</v>
      </c>
      <c r="H895" s="26">
        <v>2000</v>
      </c>
      <c r="I895" s="242"/>
    </row>
    <row r="896" spans="1:9" ht="16.5" customHeight="1">
      <c r="A896" s="80"/>
      <c r="B896" s="286"/>
      <c r="C896" s="2">
        <v>4300</v>
      </c>
      <c r="D896" s="169" t="s">
        <v>446</v>
      </c>
      <c r="E896" s="52">
        <v>3875.38</v>
      </c>
      <c r="F896" s="52">
        <v>875.38</v>
      </c>
      <c r="G896" s="26">
        <v>3875.38</v>
      </c>
      <c r="H896" s="26">
        <v>875.38</v>
      </c>
      <c r="I896" s="241"/>
    </row>
    <row r="897" spans="1:9" ht="24.75" customHeight="1">
      <c r="A897" s="57">
        <v>754</v>
      </c>
      <c r="B897" s="57"/>
      <c r="C897" s="10"/>
      <c r="D897" s="173" t="s">
        <v>345</v>
      </c>
      <c r="E897" s="73">
        <f>E898+E901+E903</f>
        <v>10883092</v>
      </c>
      <c r="F897" s="73">
        <f>F898+F901+F903</f>
        <v>10723092</v>
      </c>
      <c r="G897" s="73">
        <f>G898+G901+G903</f>
        <v>11954000</v>
      </c>
      <c r="H897" s="73">
        <f>H898+H901+H903</f>
        <v>10944000</v>
      </c>
      <c r="I897" s="215">
        <f>G897/E897*100</f>
        <v>109.84010793991266</v>
      </c>
    </row>
    <row r="898" spans="1:9" s="114" customFormat="1" ht="20.25" customHeight="1">
      <c r="A898" s="96"/>
      <c r="B898" s="46">
        <v>75405</v>
      </c>
      <c r="C898" s="24"/>
      <c r="D898" s="174" t="s">
        <v>517</v>
      </c>
      <c r="E898" s="90">
        <f>SUM(E899:E900)</f>
        <v>100000</v>
      </c>
      <c r="F898" s="52"/>
      <c r="G898" s="90">
        <f>SUM(G899:G900)</f>
        <v>1000000</v>
      </c>
      <c r="H898" s="26"/>
      <c r="I898" s="241"/>
    </row>
    <row r="899" spans="1:9" ht="16.5" customHeight="1">
      <c r="A899" s="79"/>
      <c r="B899" s="80"/>
      <c r="C899" s="421">
        <v>2300</v>
      </c>
      <c r="D899" s="169" t="s">
        <v>498</v>
      </c>
      <c r="E899" s="87">
        <v>37000</v>
      </c>
      <c r="F899" s="220"/>
      <c r="G899" s="87">
        <v>500000</v>
      </c>
      <c r="H899" s="55"/>
      <c r="I899" s="241"/>
    </row>
    <row r="900" spans="1:9" ht="36.75" customHeight="1">
      <c r="A900" s="79"/>
      <c r="B900" s="80"/>
      <c r="C900" s="8">
        <v>6170</v>
      </c>
      <c r="D900" s="169" t="s">
        <v>182</v>
      </c>
      <c r="E900" s="87">
        <v>63000</v>
      </c>
      <c r="F900" s="220"/>
      <c r="G900" s="87">
        <v>500000</v>
      </c>
      <c r="H900" s="55"/>
      <c r="I900" s="241"/>
    </row>
    <row r="901" spans="1:9" ht="20.25" customHeight="1">
      <c r="A901" s="34"/>
      <c r="B901" s="24">
        <v>75406</v>
      </c>
      <c r="C901" s="24"/>
      <c r="D901" s="25" t="s">
        <v>341</v>
      </c>
      <c r="E901" s="207">
        <f>E902</f>
        <v>10000</v>
      </c>
      <c r="F901" s="222"/>
      <c r="G901" s="207">
        <f>G902</f>
        <v>10000</v>
      </c>
      <c r="H901" s="155"/>
      <c r="I901" s="241">
        <f>G901/E901*100</f>
        <v>100</v>
      </c>
    </row>
    <row r="902" spans="1:9" ht="23.25" customHeight="1">
      <c r="A902" s="79"/>
      <c r="B902" s="80"/>
      <c r="C902" s="421">
        <v>2300</v>
      </c>
      <c r="D902" s="169" t="s">
        <v>498</v>
      </c>
      <c r="E902" s="87">
        <v>10000</v>
      </c>
      <c r="F902" s="220"/>
      <c r="G902" s="87">
        <v>10000</v>
      </c>
      <c r="H902" s="55"/>
      <c r="I902" s="241"/>
    </row>
    <row r="903" spans="1:9" ht="24" customHeight="1">
      <c r="A903" s="79"/>
      <c r="B903" s="24">
        <v>75411</v>
      </c>
      <c r="C903" s="24"/>
      <c r="D903" s="174" t="s">
        <v>371</v>
      </c>
      <c r="E903" s="90">
        <f>SUM(E904:E934)</f>
        <v>10773092</v>
      </c>
      <c r="F903" s="90">
        <f>SUM(F904:F934)</f>
        <v>10723092</v>
      </c>
      <c r="G903" s="90">
        <f>SUM(G904:G934)</f>
        <v>10944000</v>
      </c>
      <c r="H903" s="90">
        <f>SUM(H904:H934)</f>
        <v>10944000</v>
      </c>
      <c r="I903" s="242">
        <f>G903/E903*100</f>
        <v>101.58643405254499</v>
      </c>
    </row>
    <row r="904" spans="1:9" ht="21.75" customHeight="1">
      <c r="A904" s="79"/>
      <c r="B904" s="13"/>
      <c r="C904" s="8">
        <v>3020</v>
      </c>
      <c r="D904" s="169" t="s">
        <v>284</v>
      </c>
      <c r="E904" s="52">
        <v>7050</v>
      </c>
      <c r="F904" s="52">
        <v>7050</v>
      </c>
      <c r="G904" s="52">
        <v>7050</v>
      </c>
      <c r="H904" s="26">
        <v>7050</v>
      </c>
      <c r="I904" s="289"/>
    </row>
    <row r="905" spans="1:9" ht="24" customHeight="1">
      <c r="A905" s="79"/>
      <c r="B905" s="7"/>
      <c r="C905" s="8">
        <v>3070</v>
      </c>
      <c r="D905" s="169" t="s">
        <v>253</v>
      </c>
      <c r="E905" s="52">
        <v>452275</v>
      </c>
      <c r="F905" s="52">
        <v>452275</v>
      </c>
      <c r="G905" s="52">
        <v>455072</v>
      </c>
      <c r="H905" s="26">
        <v>455072</v>
      </c>
      <c r="I905" s="242"/>
    </row>
    <row r="906" spans="1:9" ht="23.25" customHeight="1">
      <c r="A906" s="79"/>
      <c r="B906" s="7"/>
      <c r="C906" s="8">
        <v>4020</v>
      </c>
      <c r="D906" s="169" t="s">
        <v>232</v>
      </c>
      <c r="E906" s="52">
        <v>189997</v>
      </c>
      <c r="F906" s="52">
        <v>189997</v>
      </c>
      <c r="G906" s="52">
        <v>208007</v>
      </c>
      <c r="H906" s="26">
        <v>208007</v>
      </c>
      <c r="I906" s="242"/>
    </row>
    <row r="907" spans="1:9" ht="16.5" customHeight="1">
      <c r="A907" s="79"/>
      <c r="B907" s="7"/>
      <c r="C907" s="8">
        <v>4040</v>
      </c>
      <c r="D907" s="169" t="s">
        <v>493</v>
      </c>
      <c r="E907" s="52">
        <v>14661</v>
      </c>
      <c r="F907" s="52">
        <v>14661</v>
      </c>
      <c r="G907" s="52">
        <v>16150</v>
      </c>
      <c r="H907" s="26">
        <v>16150</v>
      </c>
      <c r="I907" s="242"/>
    </row>
    <row r="908" spans="1:9" ht="23.25" customHeight="1">
      <c r="A908" s="79"/>
      <c r="B908" s="7"/>
      <c r="C908" s="8">
        <v>4050</v>
      </c>
      <c r="D908" s="169" t="s">
        <v>408</v>
      </c>
      <c r="E908" s="52">
        <v>6822787</v>
      </c>
      <c r="F908" s="52">
        <v>6822787</v>
      </c>
      <c r="G908" s="52">
        <v>7254804</v>
      </c>
      <c r="H908" s="26">
        <v>7254804</v>
      </c>
      <c r="I908" s="242"/>
    </row>
    <row r="909" spans="1:9" ht="27.75" customHeight="1">
      <c r="A909" s="79"/>
      <c r="B909" s="7"/>
      <c r="C909" s="8">
        <v>4060</v>
      </c>
      <c r="D909" s="169" t="s">
        <v>409</v>
      </c>
      <c r="E909" s="52">
        <v>1004716</v>
      </c>
      <c r="F909" s="52">
        <v>1004716</v>
      </c>
      <c r="G909" s="52">
        <v>161645</v>
      </c>
      <c r="H909" s="26">
        <v>161645</v>
      </c>
      <c r="I909" s="242"/>
    </row>
    <row r="910" spans="1:9" ht="34.5" customHeight="1">
      <c r="A910" s="79"/>
      <c r="B910" s="7"/>
      <c r="C910" s="8">
        <v>4070</v>
      </c>
      <c r="D910" s="169" t="s">
        <v>254</v>
      </c>
      <c r="E910" s="52">
        <v>543170</v>
      </c>
      <c r="F910" s="52">
        <v>543170</v>
      </c>
      <c r="G910" s="52">
        <v>578111</v>
      </c>
      <c r="H910" s="26">
        <v>578111</v>
      </c>
      <c r="I910" s="242"/>
    </row>
    <row r="911" spans="1:9" ht="16.5" customHeight="1">
      <c r="A911" s="79"/>
      <c r="B911" s="7"/>
      <c r="C911" s="8">
        <v>4110</v>
      </c>
      <c r="D911" s="169" t="s">
        <v>519</v>
      </c>
      <c r="E911" s="52">
        <v>37992</v>
      </c>
      <c r="F911" s="52">
        <v>37992</v>
      </c>
      <c r="G911" s="52">
        <v>40490</v>
      </c>
      <c r="H911" s="26">
        <v>40490</v>
      </c>
      <c r="I911" s="242"/>
    </row>
    <row r="912" spans="1:9" ht="16.5" customHeight="1">
      <c r="A912" s="79"/>
      <c r="B912" s="7"/>
      <c r="C912" s="8">
        <v>4120</v>
      </c>
      <c r="D912" s="169" t="s">
        <v>520</v>
      </c>
      <c r="E912" s="52">
        <v>5118</v>
      </c>
      <c r="F912" s="52">
        <v>5118</v>
      </c>
      <c r="G912" s="52">
        <v>5494</v>
      </c>
      <c r="H912" s="26">
        <v>5494</v>
      </c>
      <c r="I912" s="242"/>
    </row>
    <row r="913" spans="1:9" ht="16.5" customHeight="1">
      <c r="A913" s="79"/>
      <c r="B913" s="7"/>
      <c r="C913" s="8">
        <v>4170</v>
      </c>
      <c r="D913" s="169" t="s">
        <v>526</v>
      </c>
      <c r="E913" s="52">
        <v>5200</v>
      </c>
      <c r="F913" s="52">
        <v>5200</v>
      </c>
      <c r="G913" s="52">
        <v>7900</v>
      </c>
      <c r="H913" s="26">
        <v>7900</v>
      </c>
      <c r="I913" s="242"/>
    </row>
    <row r="914" spans="1:9" ht="33.75" customHeight="1">
      <c r="A914" s="79"/>
      <c r="B914" s="7"/>
      <c r="C914" s="8">
        <v>4180</v>
      </c>
      <c r="D914" s="169" t="s">
        <v>410</v>
      </c>
      <c r="E914" s="52">
        <v>291786</v>
      </c>
      <c r="F914" s="52">
        <v>291786</v>
      </c>
      <c r="G914" s="52">
        <v>837154</v>
      </c>
      <c r="H914" s="26">
        <v>837154</v>
      </c>
      <c r="I914" s="242"/>
    </row>
    <row r="915" spans="1:9" ht="16.5" customHeight="1">
      <c r="A915" s="79"/>
      <c r="B915" s="7"/>
      <c r="C915" s="8">
        <v>4210</v>
      </c>
      <c r="D915" s="169" t="s">
        <v>449</v>
      </c>
      <c r="E915" s="52">
        <v>256125</v>
      </c>
      <c r="F915" s="52">
        <v>256125</v>
      </c>
      <c r="G915" s="52">
        <v>304444</v>
      </c>
      <c r="H915" s="26">
        <v>304444</v>
      </c>
      <c r="I915" s="242"/>
    </row>
    <row r="916" spans="1:9" ht="16.5" customHeight="1">
      <c r="A916" s="79"/>
      <c r="B916" s="7"/>
      <c r="C916" s="8">
        <v>4260</v>
      </c>
      <c r="D916" s="169" t="s">
        <v>533</v>
      </c>
      <c r="E916" s="52">
        <v>208449</v>
      </c>
      <c r="F916" s="52">
        <v>208449</v>
      </c>
      <c r="G916" s="52">
        <v>228086</v>
      </c>
      <c r="H916" s="26">
        <v>228086</v>
      </c>
      <c r="I916" s="242"/>
    </row>
    <row r="917" spans="1:9" ht="16.5" customHeight="1">
      <c r="A917" s="79"/>
      <c r="B917" s="7"/>
      <c r="C917" s="8">
        <v>4270</v>
      </c>
      <c r="D917" s="169" t="s">
        <v>450</v>
      </c>
      <c r="E917" s="52">
        <v>104010</v>
      </c>
      <c r="F917" s="52">
        <v>104010</v>
      </c>
      <c r="G917" s="52">
        <v>79515</v>
      </c>
      <c r="H917" s="26">
        <v>79515</v>
      </c>
      <c r="I917" s="242"/>
    </row>
    <row r="918" spans="1:9" ht="16.5" customHeight="1">
      <c r="A918" s="79"/>
      <c r="B918" s="7"/>
      <c r="C918" s="8">
        <v>4280</v>
      </c>
      <c r="D918" s="169" t="s">
        <v>286</v>
      </c>
      <c r="E918" s="52">
        <v>45640</v>
      </c>
      <c r="F918" s="52">
        <v>45640</v>
      </c>
      <c r="G918" s="52">
        <v>46435</v>
      </c>
      <c r="H918" s="26">
        <v>46435</v>
      </c>
      <c r="I918" s="242"/>
    </row>
    <row r="919" spans="1:9" ht="16.5" customHeight="1">
      <c r="A919" s="79"/>
      <c r="B919" s="7"/>
      <c r="C919" s="8">
        <v>4300</v>
      </c>
      <c r="D919" s="169" t="s">
        <v>446</v>
      </c>
      <c r="E919" s="52">
        <v>149470</v>
      </c>
      <c r="F919" s="52">
        <v>149470</v>
      </c>
      <c r="G919" s="52">
        <v>197676</v>
      </c>
      <c r="H919" s="26">
        <v>197676</v>
      </c>
      <c r="I919" s="242"/>
    </row>
    <row r="920" spans="1:9" ht="24" customHeight="1">
      <c r="A920" s="79"/>
      <c r="B920" s="7"/>
      <c r="C920" s="19">
        <v>4360</v>
      </c>
      <c r="D920" s="169" t="s">
        <v>216</v>
      </c>
      <c r="E920" s="52">
        <v>30020</v>
      </c>
      <c r="F920" s="52">
        <v>30020</v>
      </c>
      <c r="G920" s="52">
        <v>30100</v>
      </c>
      <c r="H920" s="26">
        <v>30100</v>
      </c>
      <c r="I920" s="242"/>
    </row>
    <row r="921" spans="1:9" ht="24" customHeight="1">
      <c r="A921" s="79"/>
      <c r="B921" s="7"/>
      <c r="C921" s="19">
        <v>4390</v>
      </c>
      <c r="D921" s="201" t="s">
        <v>354</v>
      </c>
      <c r="E921" s="52">
        <v>500</v>
      </c>
      <c r="F921" s="52">
        <v>500</v>
      </c>
      <c r="G921" s="52">
        <v>500</v>
      </c>
      <c r="H921" s="26">
        <v>500</v>
      </c>
      <c r="I921" s="242"/>
    </row>
    <row r="922" spans="1:9" ht="24" customHeight="1">
      <c r="A922" s="79"/>
      <c r="B922" s="7"/>
      <c r="C922" s="19">
        <v>4400</v>
      </c>
      <c r="D922" s="169" t="s">
        <v>291</v>
      </c>
      <c r="E922" s="52">
        <v>1566</v>
      </c>
      <c r="F922" s="52">
        <v>1566</v>
      </c>
      <c r="G922" s="52">
        <v>237</v>
      </c>
      <c r="H922" s="26">
        <v>237</v>
      </c>
      <c r="I922" s="242"/>
    </row>
    <row r="923" spans="1:9" ht="16.5" customHeight="1">
      <c r="A923" s="79"/>
      <c r="B923" s="7"/>
      <c r="C923" s="19">
        <v>4410</v>
      </c>
      <c r="D923" s="201" t="s">
        <v>523</v>
      </c>
      <c r="E923" s="52">
        <v>9000</v>
      </c>
      <c r="F923" s="52">
        <v>9000</v>
      </c>
      <c r="G923" s="52">
        <v>15400</v>
      </c>
      <c r="H923" s="26">
        <v>15400</v>
      </c>
      <c r="I923" s="242"/>
    </row>
    <row r="924" spans="1:9" ht="16.5" customHeight="1">
      <c r="A924" s="79"/>
      <c r="B924" s="7"/>
      <c r="C924" s="19">
        <v>4420</v>
      </c>
      <c r="D924" s="201" t="s">
        <v>524</v>
      </c>
      <c r="E924" s="52">
        <v>1000</v>
      </c>
      <c r="F924" s="52">
        <v>1000</v>
      </c>
      <c r="G924" s="52">
        <v>1000</v>
      </c>
      <c r="H924" s="26">
        <v>1000</v>
      </c>
      <c r="I924" s="242"/>
    </row>
    <row r="925" spans="1:9" ht="16.5" customHeight="1">
      <c r="A925" s="79"/>
      <c r="B925" s="7"/>
      <c r="C925" s="8">
        <v>4430</v>
      </c>
      <c r="D925" s="169" t="s">
        <v>429</v>
      </c>
      <c r="E925" s="52">
        <v>15967</v>
      </c>
      <c r="F925" s="52">
        <v>15967</v>
      </c>
      <c r="G925" s="52">
        <v>20367</v>
      </c>
      <c r="H925" s="26">
        <v>20367</v>
      </c>
      <c r="I925" s="242"/>
    </row>
    <row r="926" spans="1:9" ht="23.25" customHeight="1">
      <c r="A926" s="79"/>
      <c r="B926" s="7"/>
      <c r="C926" s="8">
        <v>4440</v>
      </c>
      <c r="D926" s="169" t="s">
        <v>521</v>
      </c>
      <c r="E926" s="52">
        <v>6017</v>
      </c>
      <c r="F926" s="52">
        <v>6017</v>
      </c>
      <c r="G926" s="52">
        <v>6017</v>
      </c>
      <c r="H926" s="26">
        <v>6017</v>
      </c>
      <c r="I926" s="242"/>
    </row>
    <row r="927" spans="1:9" ht="16.5" customHeight="1">
      <c r="A927" s="79"/>
      <c r="B927" s="7"/>
      <c r="C927" s="8">
        <v>4480</v>
      </c>
      <c r="D927" s="169" t="s">
        <v>367</v>
      </c>
      <c r="E927" s="52">
        <v>28164</v>
      </c>
      <c r="F927" s="52">
        <v>28164</v>
      </c>
      <c r="G927" s="52">
        <v>31615</v>
      </c>
      <c r="H927" s="26">
        <v>31615</v>
      </c>
      <c r="I927" s="242"/>
    </row>
    <row r="928" spans="1:9" ht="24" customHeight="1">
      <c r="A928" s="79"/>
      <c r="B928" s="7"/>
      <c r="C928" s="8">
        <v>4500</v>
      </c>
      <c r="D928" s="169" t="s">
        <v>119</v>
      </c>
      <c r="E928" s="52">
        <v>670</v>
      </c>
      <c r="F928" s="52">
        <v>670</v>
      </c>
      <c r="G928" s="52">
        <v>684</v>
      </c>
      <c r="H928" s="26">
        <v>684</v>
      </c>
      <c r="I928" s="242"/>
    </row>
    <row r="929" spans="1:9" ht="16.5" customHeight="1">
      <c r="A929" s="79"/>
      <c r="B929" s="7"/>
      <c r="C929" s="8">
        <v>4510</v>
      </c>
      <c r="D929" s="169" t="s">
        <v>325</v>
      </c>
      <c r="E929" s="52">
        <v>1305</v>
      </c>
      <c r="F929" s="52">
        <v>1305</v>
      </c>
      <c r="G929" s="52">
        <v>1305</v>
      </c>
      <c r="H929" s="26">
        <v>1305</v>
      </c>
      <c r="I929" s="242"/>
    </row>
    <row r="930" spans="1:9" ht="24" customHeight="1">
      <c r="A930" s="79"/>
      <c r="B930" s="7"/>
      <c r="C930" s="8">
        <v>4520</v>
      </c>
      <c r="D930" s="169" t="s">
        <v>417</v>
      </c>
      <c r="E930" s="52">
        <v>6212</v>
      </c>
      <c r="F930" s="52">
        <v>6212</v>
      </c>
      <c r="G930" s="52">
        <v>6242</v>
      </c>
      <c r="H930" s="26">
        <v>6242</v>
      </c>
      <c r="I930" s="242"/>
    </row>
    <row r="931" spans="1:9" ht="16.5" customHeight="1">
      <c r="A931" s="79"/>
      <c r="B931" s="7"/>
      <c r="C931" s="8">
        <v>4550</v>
      </c>
      <c r="D931" s="169" t="s">
        <v>326</v>
      </c>
      <c r="E931" s="52">
        <v>2000</v>
      </c>
      <c r="F931" s="52">
        <v>2000</v>
      </c>
      <c r="G931" s="52">
        <v>2500</v>
      </c>
      <c r="H931" s="26">
        <v>2500</v>
      </c>
      <c r="I931" s="242"/>
    </row>
    <row r="932" spans="1:9" ht="24.75" customHeight="1">
      <c r="A932" s="79"/>
      <c r="B932" s="7"/>
      <c r="C932" s="8">
        <v>4610</v>
      </c>
      <c r="D932" s="169" t="s">
        <v>508</v>
      </c>
      <c r="E932" s="52">
        <v>2225</v>
      </c>
      <c r="F932" s="52">
        <v>2225</v>
      </c>
      <c r="G932" s="52">
        <v>0</v>
      </c>
      <c r="H932" s="26">
        <v>0</v>
      </c>
      <c r="I932" s="242"/>
    </row>
    <row r="933" spans="1:9" ht="16.5" customHeight="1">
      <c r="A933" s="79"/>
      <c r="B933" s="7"/>
      <c r="C933" s="2">
        <v>6050</v>
      </c>
      <c r="D933" s="169" t="s">
        <v>507</v>
      </c>
      <c r="E933" s="52">
        <v>480000</v>
      </c>
      <c r="F933" s="52">
        <v>480000</v>
      </c>
      <c r="G933" s="52">
        <v>400000</v>
      </c>
      <c r="H933" s="26">
        <v>400000</v>
      </c>
      <c r="I933" s="242"/>
    </row>
    <row r="934" spans="1:9" ht="23.25" customHeight="1">
      <c r="A934" s="79"/>
      <c r="B934" s="7"/>
      <c r="C934" s="13">
        <v>6060</v>
      </c>
      <c r="D934" s="169" t="s">
        <v>538</v>
      </c>
      <c r="E934" s="72">
        <v>50000</v>
      </c>
      <c r="F934" s="52"/>
      <c r="G934" s="72"/>
      <c r="H934" s="26"/>
      <c r="I934" s="241"/>
    </row>
    <row r="935" spans="1:9" s="54" customFormat="1" ht="23.25" customHeight="1">
      <c r="A935" s="59">
        <v>755</v>
      </c>
      <c r="B935" s="57"/>
      <c r="C935" s="57"/>
      <c r="D935" s="173" t="s">
        <v>151</v>
      </c>
      <c r="E935" s="154">
        <f>E936</f>
        <v>0</v>
      </c>
      <c r="F935" s="33"/>
      <c r="G935" s="154">
        <f>G936</f>
        <v>185400</v>
      </c>
      <c r="H935" s="83"/>
      <c r="I935" s="213"/>
    </row>
    <row r="936" spans="1:9" s="426" customFormat="1" ht="23.25" customHeight="1">
      <c r="A936" s="424"/>
      <c r="B936" s="93">
        <v>75595</v>
      </c>
      <c r="C936" s="425"/>
      <c r="D936" s="174" t="s">
        <v>343</v>
      </c>
      <c r="E936" s="166">
        <f>SUM(E937:E939)</f>
        <v>0</v>
      </c>
      <c r="F936" s="90"/>
      <c r="G936" s="166">
        <f>SUM(G937:G939)</f>
        <v>185400</v>
      </c>
      <c r="H936" s="28"/>
      <c r="I936" s="439"/>
    </row>
    <row r="937" spans="1:9" ht="66" customHeight="1">
      <c r="A937" s="70"/>
      <c r="B937" s="61"/>
      <c r="C937" s="434">
        <v>2360</v>
      </c>
      <c r="D937" s="169" t="s">
        <v>227</v>
      </c>
      <c r="E937" s="72"/>
      <c r="F937" s="52"/>
      <c r="G937" s="72">
        <v>59946</v>
      </c>
      <c r="H937" s="26"/>
      <c r="I937" s="126"/>
    </row>
    <row r="938" spans="1:9" ht="23.25" customHeight="1">
      <c r="A938" s="70"/>
      <c r="B938" s="61"/>
      <c r="C938" s="434">
        <v>4170</v>
      </c>
      <c r="D938" s="169" t="s">
        <v>526</v>
      </c>
      <c r="E938" s="72"/>
      <c r="F938" s="52"/>
      <c r="G938" s="72">
        <v>119892</v>
      </c>
      <c r="H938" s="26"/>
      <c r="I938" s="126"/>
    </row>
    <row r="939" spans="1:9" ht="23.25" customHeight="1">
      <c r="A939" s="70"/>
      <c r="B939" s="61"/>
      <c r="C939" s="434">
        <v>4210</v>
      </c>
      <c r="D939" s="169" t="s">
        <v>449</v>
      </c>
      <c r="E939" s="72"/>
      <c r="F939" s="52"/>
      <c r="G939" s="72">
        <v>5562</v>
      </c>
      <c r="H939" s="26"/>
      <c r="I939" s="126"/>
    </row>
    <row r="940" spans="1:9" ht="23.25" customHeight="1">
      <c r="A940" s="57">
        <v>758</v>
      </c>
      <c r="B940" s="57"/>
      <c r="C940" s="10"/>
      <c r="D940" s="173" t="s">
        <v>346</v>
      </c>
      <c r="E940" s="154">
        <f>E941+E947</f>
        <v>186405.28999999998</v>
      </c>
      <c r="F940" s="33"/>
      <c r="G940" s="154">
        <f>G941+G947</f>
        <v>2306000</v>
      </c>
      <c r="H940" s="83"/>
      <c r="I940" s="131"/>
    </row>
    <row r="941" spans="1:9" ht="20.25" customHeight="1">
      <c r="A941" s="97"/>
      <c r="B941" s="46">
        <v>75818</v>
      </c>
      <c r="C941" s="24"/>
      <c r="D941" s="174" t="s">
        <v>347</v>
      </c>
      <c r="E941" s="90">
        <f>E942+E946</f>
        <v>163238.28999999998</v>
      </c>
      <c r="F941" s="220"/>
      <c r="G941" s="90">
        <f>G942+G946</f>
        <v>2306000</v>
      </c>
      <c r="H941" s="55"/>
      <c r="I941" s="242"/>
    </row>
    <row r="942" spans="1:9" ht="16.5" customHeight="1">
      <c r="A942" s="80"/>
      <c r="B942" s="80"/>
      <c r="C942" s="13">
        <v>4810</v>
      </c>
      <c r="D942" s="169" t="s">
        <v>279</v>
      </c>
      <c r="E942" s="87">
        <f>E944+E945</f>
        <v>121753.79</v>
      </c>
      <c r="F942" s="220"/>
      <c r="G942" s="87">
        <f>G944+G945</f>
        <v>506000</v>
      </c>
      <c r="H942" s="55"/>
      <c r="I942" s="242"/>
    </row>
    <row r="943" spans="1:9" ht="16.5" customHeight="1">
      <c r="A943" s="80"/>
      <c r="B943" s="79"/>
      <c r="C943" s="13"/>
      <c r="D943" s="195" t="s">
        <v>280</v>
      </c>
      <c r="E943" s="87"/>
      <c r="F943" s="220"/>
      <c r="G943" s="87"/>
      <c r="H943" s="55"/>
      <c r="I943" s="242"/>
    </row>
    <row r="944" spans="1:9" ht="16.5" customHeight="1">
      <c r="A944" s="80"/>
      <c r="B944" s="79"/>
      <c r="C944" s="7"/>
      <c r="D944" s="195" t="s">
        <v>420</v>
      </c>
      <c r="E944" s="126">
        <v>121753.79</v>
      </c>
      <c r="F944" s="220"/>
      <c r="G944" s="126">
        <f>21000+180000-50000+5000+50000</f>
        <v>206000</v>
      </c>
      <c r="H944" s="55"/>
      <c r="I944" s="242"/>
    </row>
    <row r="945" spans="1:9" ht="16.5" customHeight="1">
      <c r="A945" s="80"/>
      <c r="B945" s="79"/>
      <c r="C945" s="1" t="s">
        <v>307</v>
      </c>
      <c r="D945" s="195" t="s">
        <v>282</v>
      </c>
      <c r="E945" s="52">
        <v>0</v>
      </c>
      <c r="F945" s="220"/>
      <c r="G945" s="52">
        <v>300000</v>
      </c>
      <c r="H945" s="55"/>
      <c r="I945" s="242"/>
    </row>
    <row r="946" spans="1:9" ht="16.5" customHeight="1">
      <c r="A946" s="80"/>
      <c r="B946" s="79"/>
      <c r="C946" s="1">
        <v>6800</v>
      </c>
      <c r="D946" s="195" t="s">
        <v>283</v>
      </c>
      <c r="E946" s="87">
        <v>41484.5</v>
      </c>
      <c r="F946" s="220"/>
      <c r="G946" s="87">
        <v>1800000</v>
      </c>
      <c r="H946" s="55"/>
      <c r="I946" s="242"/>
    </row>
    <row r="947" spans="1:9" ht="24" customHeight="1">
      <c r="A947" s="97"/>
      <c r="B947" s="46">
        <v>75832</v>
      </c>
      <c r="C947" s="35"/>
      <c r="D947" s="202" t="s">
        <v>256</v>
      </c>
      <c r="E947" s="150">
        <f>E948</f>
        <v>23167</v>
      </c>
      <c r="F947" s="225"/>
      <c r="G947" s="150">
        <f>G948</f>
        <v>0</v>
      </c>
      <c r="H947" s="284"/>
      <c r="I947" s="242"/>
    </row>
    <row r="948" spans="1:9" ht="24" customHeight="1">
      <c r="A948" s="80"/>
      <c r="B948" s="79"/>
      <c r="C948" s="2">
        <v>2930</v>
      </c>
      <c r="D948" s="169" t="s">
        <v>419</v>
      </c>
      <c r="E948" s="86">
        <v>23167</v>
      </c>
      <c r="F948" s="126"/>
      <c r="G948" s="86"/>
      <c r="H948" s="233"/>
      <c r="I948" s="241"/>
    </row>
    <row r="949" spans="1:9" ht="24" customHeight="1">
      <c r="A949" s="57">
        <v>801</v>
      </c>
      <c r="B949" s="57"/>
      <c r="C949" s="5"/>
      <c r="D949" s="173" t="s">
        <v>348</v>
      </c>
      <c r="E949" s="33">
        <f>E950+E969+E971+E989+E991+E1009+E1036+E1126+E1040+E1067+E1070+E1087+E1110+E1133+E1153+E1170+E1181+E1172</f>
        <v>62050024.46</v>
      </c>
      <c r="F949" s="33">
        <f>F950+F969+F971+F989+F991+F1009+F1036+F1126+F1040+F1067+F1070+F1087+F1110+F1133+F1153+F1170+F1181+F1172</f>
        <v>21909.21</v>
      </c>
      <c r="G949" s="33">
        <f>G950+G969+G971+G989+G991+G1009+G1036+G1126+G1040+G1067+G1070+G1087+G1110+G1133+G1153+G1170+G1181+G1172</f>
        <v>62359695.12</v>
      </c>
      <c r="H949" s="33">
        <f>H950+H969+H971+H989+H991+H1009+H1036+H1126+H1040+H1067+H1070+H1087+H1110+H1133+H1153+H1170+H1181+H1172</f>
        <v>0</v>
      </c>
      <c r="I949" s="215">
        <f>G949/E949*100</f>
        <v>100.49906613687094</v>
      </c>
    </row>
    <row r="950" spans="1:9" ht="20.25" customHeight="1">
      <c r="A950" s="66"/>
      <c r="B950" s="27">
        <v>80102</v>
      </c>
      <c r="C950" s="24"/>
      <c r="D950" s="174" t="s">
        <v>495</v>
      </c>
      <c r="E950" s="90">
        <f>SUM(E951:E968)</f>
        <v>3334418.91</v>
      </c>
      <c r="F950" s="90">
        <f>SUM(F951:F968)</f>
        <v>10596.91</v>
      </c>
      <c r="G950" s="90">
        <f>SUM(G951:G968)</f>
        <v>3425908</v>
      </c>
      <c r="H950" s="166"/>
      <c r="I950" s="242">
        <f>G950/E950*100</f>
        <v>102.74377912522095</v>
      </c>
    </row>
    <row r="951" spans="1:9" ht="23.25" customHeight="1">
      <c r="A951" s="66"/>
      <c r="B951" s="15"/>
      <c r="C951" s="8">
        <v>3020</v>
      </c>
      <c r="D951" s="169" t="s">
        <v>284</v>
      </c>
      <c r="E951" s="41">
        <v>6850</v>
      </c>
      <c r="F951" s="126"/>
      <c r="G951" s="41">
        <v>7050</v>
      </c>
      <c r="H951" s="233"/>
      <c r="I951" s="289"/>
    </row>
    <row r="952" spans="1:9" ht="16.5" customHeight="1">
      <c r="A952" s="66"/>
      <c r="B952" s="17"/>
      <c r="C952" s="8">
        <v>4010</v>
      </c>
      <c r="D952" s="169" t="s">
        <v>492</v>
      </c>
      <c r="E952" s="41">
        <v>2425378</v>
      </c>
      <c r="F952" s="126"/>
      <c r="G952" s="41">
        <v>2434650</v>
      </c>
      <c r="H952" s="233"/>
      <c r="I952" s="242"/>
    </row>
    <row r="953" spans="1:9" ht="16.5" customHeight="1">
      <c r="A953" s="66"/>
      <c r="B953" s="17"/>
      <c r="C953" s="8">
        <v>4040</v>
      </c>
      <c r="D953" s="169" t="s">
        <v>493</v>
      </c>
      <c r="E953" s="41">
        <v>189732</v>
      </c>
      <c r="F953" s="126"/>
      <c r="G953" s="41">
        <v>205120</v>
      </c>
      <c r="H953" s="233"/>
      <c r="I953" s="242"/>
    </row>
    <row r="954" spans="1:9" ht="16.5" customHeight="1">
      <c r="A954" s="66"/>
      <c r="B954" s="17"/>
      <c r="C954" s="8">
        <v>4110</v>
      </c>
      <c r="D954" s="169" t="s">
        <v>519</v>
      </c>
      <c r="E954" s="41">
        <v>418510</v>
      </c>
      <c r="F954" s="126"/>
      <c r="G954" s="41">
        <v>490685</v>
      </c>
      <c r="H954" s="233"/>
      <c r="I954" s="242"/>
    </row>
    <row r="955" spans="1:9" ht="16.5" customHeight="1">
      <c r="A955" s="66"/>
      <c r="B955" s="17"/>
      <c r="C955" s="8">
        <v>4120</v>
      </c>
      <c r="D955" s="169" t="s">
        <v>520</v>
      </c>
      <c r="E955" s="41">
        <v>55770</v>
      </c>
      <c r="F955" s="126"/>
      <c r="G955" s="41">
        <v>70570</v>
      </c>
      <c r="H955" s="233"/>
      <c r="I955" s="242"/>
    </row>
    <row r="956" spans="1:9" ht="16.5" customHeight="1">
      <c r="A956" s="66"/>
      <c r="B956" s="17"/>
      <c r="C956" s="8">
        <v>4170</v>
      </c>
      <c r="D956" s="169" t="s">
        <v>526</v>
      </c>
      <c r="E956" s="41">
        <v>3610</v>
      </c>
      <c r="F956" s="126"/>
      <c r="G956" s="41">
        <v>3850</v>
      </c>
      <c r="H956" s="233"/>
      <c r="I956" s="242"/>
    </row>
    <row r="957" spans="1:9" ht="16.5" customHeight="1">
      <c r="A957" s="66"/>
      <c r="B957" s="17"/>
      <c r="C957" s="8">
        <v>4210</v>
      </c>
      <c r="D957" s="169" t="s">
        <v>449</v>
      </c>
      <c r="E957" s="86">
        <v>17740</v>
      </c>
      <c r="F957" s="126"/>
      <c r="G957" s="86">
        <v>7540</v>
      </c>
      <c r="H957" s="233"/>
      <c r="I957" s="242"/>
    </row>
    <row r="958" spans="1:9" ht="18" customHeight="1">
      <c r="A958" s="66"/>
      <c r="B958" s="17"/>
      <c r="C958" s="8">
        <v>4240</v>
      </c>
      <c r="D958" s="169" t="s">
        <v>405</v>
      </c>
      <c r="E958" s="52">
        <f>2171+10492</f>
        <v>12663</v>
      </c>
      <c r="F958" s="52">
        <f>10492</f>
        <v>10492</v>
      </c>
      <c r="G958" s="52">
        <v>460</v>
      </c>
      <c r="H958" s="233"/>
      <c r="I958" s="242"/>
    </row>
    <row r="959" spans="1:9" ht="16.5" customHeight="1">
      <c r="A959" s="66"/>
      <c r="B959" s="17"/>
      <c r="C959" s="8">
        <v>4260</v>
      </c>
      <c r="D959" s="169" t="s">
        <v>533</v>
      </c>
      <c r="E959" s="88">
        <v>50080</v>
      </c>
      <c r="F959" s="126"/>
      <c r="G959" s="88">
        <v>56580</v>
      </c>
      <c r="H959" s="233"/>
      <c r="I959" s="242"/>
    </row>
    <row r="960" spans="1:9" ht="16.5" customHeight="1">
      <c r="A960" s="66"/>
      <c r="B960" s="17"/>
      <c r="C960" s="8">
        <v>4270</v>
      </c>
      <c r="D960" s="169" t="s">
        <v>450</v>
      </c>
      <c r="E960" s="41">
        <v>15695</v>
      </c>
      <c r="F960" s="126"/>
      <c r="G960" s="41">
        <v>4695</v>
      </c>
      <c r="H960" s="233"/>
      <c r="I960" s="242"/>
    </row>
    <row r="961" spans="1:9" ht="16.5" customHeight="1">
      <c r="A961" s="66"/>
      <c r="B961" s="17"/>
      <c r="C961" s="8">
        <v>4280</v>
      </c>
      <c r="D961" s="169" t="s">
        <v>286</v>
      </c>
      <c r="E961" s="41">
        <v>1095</v>
      </c>
      <c r="F961" s="126"/>
      <c r="G961" s="41">
        <v>1160</v>
      </c>
      <c r="H961" s="233"/>
      <c r="I961" s="242"/>
    </row>
    <row r="962" spans="1:9" ht="16.5" customHeight="1">
      <c r="A962" s="66"/>
      <c r="B962" s="17"/>
      <c r="C962" s="8">
        <v>4300</v>
      </c>
      <c r="D962" s="169" t="s">
        <v>446</v>
      </c>
      <c r="E962" s="41">
        <f>10633+104.91</f>
        <v>10737.91</v>
      </c>
      <c r="F962" s="52">
        <f>104.91</f>
        <v>104.91</v>
      </c>
      <c r="G962" s="41">
        <v>10583</v>
      </c>
      <c r="H962" s="233"/>
      <c r="I962" s="242"/>
    </row>
    <row r="963" spans="1:9" ht="25.5" customHeight="1">
      <c r="A963" s="66"/>
      <c r="B963" s="17"/>
      <c r="C963" s="19">
        <v>4360</v>
      </c>
      <c r="D963" s="169" t="s">
        <v>183</v>
      </c>
      <c r="E963" s="41">
        <v>2250</v>
      </c>
      <c r="F963" s="126"/>
      <c r="G963" s="41">
        <v>1980</v>
      </c>
      <c r="H963" s="233"/>
      <c r="I963" s="242"/>
    </row>
    <row r="964" spans="1:9" ht="16.5" customHeight="1">
      <c r="A964" s="66"/>
      <c r="B964" s="17"/>
      <c r="C964" s="8">
        <v>4410</v>
      </c>
      <c r="D964" s="169" t="s">
        <v>523</v>
      </c>
      <c r="E964" s="41">
        <v>50</v>
      </c>
      <c r="F964" s="126"/>
      <c r="G964" s="41">
        <v>50</v>
      </c>
      <c r="H964" s="233"/>
      <c r="I964" s="242"/>
    </row>
    <row r="965" spans="1:9" ht="16.5" customHeight="1">
      <c r="A965" s="66"/>
      <c r="B965" s="17"/>
      <c r="C965" s="8">
        <v>4430</v>
      </c>
      <c r="D965" s="169" t="s">
        <v>429</v>
      </c>
      <c r="E965" s="41">
        <v>2910</v>
      </c>
      <c r="F965" s="126"/>
      <c r="G965" s="41">
        <v>2960</v>
      </c>
      <c r="H965" s="233"/>
      <c r="I965" s="242"/>
    </row>
    <row r="966" spans="1:9" ht="24" customHeight="1">
      <c r="A966" s="66"/>
      <c r="B966" s="17"/>
      <c r="C966" s="8">
        <v>4440</v>
      </c>
      <c r="D966" s="169" t="s">
        <v>521</v>
      </c>
      <c r="E966" s="41">
        <v>118898</v>
      </c>
      <c r="F966" s="126"/>
      <c r="G966" s="41">
        <v>126125</v>
      </c>
      <c r="H966" s="233"/>
      <c r="I966" s="242"/>
    </row>
    <row r="967" spans="1:9" ht="24" customHeight="1">
      <c r="A967" s="66"/>
      <c r="B967" s="17"/>
      <c r="C967" s="8">
        <v>4520</v>
      </c>
      <c r="D967" s="169" t="s">
        <v>417</v>
      </c>
      <c r="E967" s="41">
        <v>700</v>
      </c>
      <c r="F967" s="126"/>
      <c r="G967" s="41">
        <v>1500</v>
      </c>
      <c r="H967" s="233"/>
      <c r="I967" s="242"/>
    </row>
    <row r="968" spans="1:9" ht="24" customHeight="1">
      <c r="A968" s="66"/>
      <c r="B968" s="17"/>
      <c r="C968" s="2">
        <v>4700</v>
      </c>
      <c r="D968" s="169" t="s">
        <v>418</v>
      </c>
      <c r="E968" s="41">
        <v>1750</v>
      </c>
      <c r="F968" s="126"/>
      <c r="G968" s="41">
        <v>350</v>
      </c>
      <c r="H968" s="233"/>
      <c r="I968" s="242"/>
    </row>
    <row r="969" spans="1:9" s="53" customFormat="1" ht="24" customHeight="1">
      <c r="A969" s="82"/>
      <c r="B969" s="24">
        <v>80105</v>
      </c>
      <c r="C969" s="24"/>
      <c r="D969" s="174" t="s">
        <v>295</v>
      </c>
      <c r="E969" s="38">
        <f>E970</f>
        <v>0</v>
      </c>
      <c r="F969" s="225"/>
      <c r="G969" s="38">
        <f>G970</f>
        <v>10000</v>
      </c>
      <c r="H969" s="284"/>
      <c r="I969" s="207"/>
    </row>
    <row r="970" spans="1:9" ht="24" customHeight="1">
      <c r="A970" s="66"/>
      <c r="B970" s="17"/>
      <c r="C970" s="8">
        <v>2540</v>
      </c>
      <c r="D970" s="169" t="s">
        <v>421</v>
      </c>
      <c r="E970" s="41"/>
      <c r="F970" s="126"/>
      <c r="G970" s="41">
        <v>10000</v>
      </c>
      <c r="H970" s="233"/>
      <c r="I970" s="241"/>
    </row>
    <row r="971" spans="1:9" ht="20.25" customHeight="1">
      <c r="A971" s="66"/>
      <c r="B971" s="23">
        <v>80111</v>
      </c>
      <c r="C971" s="24"/>
      <c r="D971" s="174" t="s">
        <v>496</v>
      </c>
      <c r="E971" s="38">
        <f>SUM(E972:E988)</f>
        <v>1692480.3</v>
      </c>
      <c r="F971" s="90">
        <f>SUM(F972:F988)</f>
        <v>11312.3</v>
      </c>
      <c r="G971" s="90">
        <f>SUM(G972:G988)</f>
        <v>1580891</v>
      </c>
      <c r="H971" s="233"/>
      <c r="I971" s="242">
        <f>G971/E971*100</f>
        <v>93.40675929876406</v>
      </c>
    </row>
    <row r="972" spans="1:9" ht="23.25" customHeight="1">
      <c r="A972" s="66"/>
      <c r="B972" s="15"/>
      <c r="C972" s="8">
        <v>3020</v>
      </c>
      <c r="D972" s="169" t="s">
        <v>284</v>
      </c>
      <c r="E972" s="41">
        <v>1860</v>
      </c>
      <c r="F972" s="126"/>
      <c r="G972" s="41">
        <v>2060</v>
      </c>
      <c r="H972" s="233"/>
      <c r="I972" s="289"/>
    </row>
    <row r="973" spans="1:9" ht="16.5" customHeight="1">
      <c r="A973" s="66"/>
      <c r="B973" s="17"/>
      <c r="C973" s="8">
        <v>4010</v>
      </c>
      <c r="D973" s="169" t="s">
        <v>492</v>
      </c>
      <c r="E973" s="41">
        <v>1181219</v>
      </c>
      <c r="F973" s="126"/>
      <c r="G973" s="41">
        <v>1100790</v>
      </c>
      <c r="H973" s="233"/>
      <c r="I973" s="242"/>
    </row>
    <row r="974" spans="1:9" ht="16.5" customHeight="1">
      <c r="A974" s="66"/>
      <c r="B974" s="17"/>
      <c r="C974" s="8">
        <v>4040</v>
      </c>
      <c r="D974" s="169" t="s">
        <v>493</v>
      </c>
      <c r="E974" s="41">
        <v>105350</v>
      </c>
      <c r="F974" s="126"/>
      <c r="G974" s="41">
        <v>99160</v>
      </c>
      <c r="H974" s="233"/>
      <c r="I974" s="242"/>
    </row>
    <row r="975" spans="1:9" ht="16.5" customHeight="1">
      <c r="A975" s="66"/>
      <c r="B975" s="17"/>
      <c r="C975" s="8">
        <v>4110</v>
      </c>
      <c r="D975" s="169" t="s">
        <v>519</v>
      </c>
      <c r="E975" s="41">
        <v>209543</v>
      </c>
      <c r="F975" s="126"/>
      <c r="G975" s="41">
        <v>208100</v>
      </c>
      <c r="H975" s="233"/>
      <c r="I975" s="242"/>
    </row>
    <row r="976" spans="1:9" ht="16.5" customHeight="1">
      <c r="A976" s="66"/>
      <c r="B976" s="17"/>
      <c r="C976" s="8">
        <v>4120</v>
      </c>
      <c r="D976" s="169" t="s">
        <v>520</v>
      </c>
      <c r="E976" s="41">
        <v>27665</v>
      </c>
      <c r="F976" s="126"/>
      <c r="G976" s="41">
        <v>29240</v>
      </c>
      <c r="H976" s="233"/>
      <c r="I976" s="242"/>
    </row>
    <row r="977" spans="1:9" ht="16.5" customHeight="1">
      <c r="A977" s="66"/>
      <c r="B977" s="17"/>
      <c r="C977" s="8">
        <v>4210</v>
      </c>
      <c r="D977" s="169" t="s">
        <v>449</v>
      </c>
      <c r="E977" s="41">
        <v>9031</v>
      </c>
      <c r="F977" s="126"/>
      <c r="G977" s="41">
        <v>7811</v>
      </c>
      <c r="H977" s="233"/>
      <c r="I977" s="242"/>
    </row>
    <row r="978" spans="1:9" ht="17.25" customHeight="1">
      <c r="A978" s="66"/>
      <c r="B978" s="17"/>
      <c r="C978" s="8">
        <v>4240</v>
      </c>
      <c r="D978" s="169" t="s">
        <v>405</v>
      </c>
      <c r="E978" s="41">
        <f>513+11200.3</f>
        <v>11713.3</v>
      </c>
      <c r="F978" s="52">
        <v>11200.3</v>
      </c>
      <c r="G978" s="41">
        <v>563</v>
      </c>
      <c r="H978" s="233"/>
      <c r="I978" s="242"/>
    </row>
    <row r="979" spans="1:9" ht="16.5" customHeight="1">
      <c r="A979" s="66"/>
      <c r="B979" s="17"/>
      <c r="C979" s="8">
        <v>4260</v>
      </c>
      <c r="D979" s="169" t="s">
        <v>533</v>
      </c>
      <c r="E979" s="41">
        <v>50650</v>
      </c>
      <c r="F979" s="126"/>
      <c r="G979" s="41">
        <v>57150</v>
      </c>
      <c r="H979" s="233"/>
      <c r="I979" s="242"/>
    </row>
    <row r="980" spans="1:9" ht="16.5" customHeight="1">
      <c r="A980" s="66"/>
      <c r="B980" s="17"/>
      <c r="C980" s="8">
        <v>4270</v>
      </c>
      <c r="D980" s="169" t="s">
        <v>450</v>
      </c>
      <c r="E980" s="41">
        <v>8550</v>
      </c>
      <c r="F980" s="126"/>
      <c r="G980" s="41">
        <v>3550</v>
      </c>
      <c r="H980" s="233"/>
      <c r="I980" s="242"/>
    </row>
    <row r="981" spans="1:9" ht="16.5" customHeight="1">
      <c r="A981" s="66"/>
      <c r="B981" s="17"/>
      <c r="C981" s="8">
        <v>4280</v>
      </c>
      <c r="D981" s="169" t="s">
        <v>286</v>
      </c>
      <c r="E981" s="41">
        <v>668</v>
      </c>
      <c r="F981" s="126"/>
      <c r="G981" s="41">
        <v>830</v>
      </c>
      <c r="H981" s="233"/>
      <c r="I981" s="242"/>
    </row>
    <row r="982" spans="1:9" ht="16.5" customHeight="1">
      <c r="A982" s="66"/>
      <c r="B982" s="17"/>
      <c r="C982" s="8">
        <v>4300</v>
      </c>
      <c r="D982" s="169" t="s">
        <v>446</v>
      </c>
      <c r="E982" s="41">
        <f>16967+112</f>
        <v>17079</v>
      </c>
      <c r="F982" s="52">
        <v>112</v>
      </c>
      <c r="G982" s="41">
        <v>8017</v>
      </c>
      <c r="H982" s="233"/>
      <c r="I982" s="242"/>
    </row>
    <row r="983" spans="1:9" s="53" customFormat="1" ht="26.25" customHeight="1">
      <c r="A983" s="66"/>
      <c r="B983" s="17"/>
      <c r="C983" s="19">
        <v>4360</v>
      </c>
      <c r="D983" s="169" t="s">
        <v>183</v>
      </c>
      <c r="E983" s="41">
        <v>2410</v>
      </c>
      <c r="F983" s="126"/>
      <c r="G983" s="41">
        <v>2420</v>
      </c>
      <c r="H983" s="233"/>
      <c r="I983" s="242"/>
    </row>
    <row r="984" spans="1:9" ht="16.5" customHeight="1">
      <c r="A984" s="66"/>
      <c r="B984" s="17"/>
      <c r="C984" s="19">
        <v>4410</v>
      </c>
      <c r="D984" s="169" t="s">
        <v>523</v>
      </c>
      <c r="E984" s="41">
        <v>0</v>
      </c>
      <c r="F984" s="126"/>
      <c r="G984" s="41">
        <v>0</v>
      </c>
      <c r="H984" s="233"/>
      <c r="I984" s="242"/>
    </row>
    <row r="985" spans="1:9" ht="16.5" customHeight="1">
      <c r="A985" s="66"/>
      <c r="B985" s="17"/>
      <c r="C985" s="8">
        <v>4430</v>
      </c>
      <c r="D985" s="169" t="s">
        <v>429</v>
      </c>
      <c r="E985" s="41">
        <v>2310</v>
      </c>
      <c r="F985" s="126"/>
      <c r="G985" s="41">
        <v>2340</v>
      </c>
      <c r="H985" s="233"/>
      <c r="I985" s="242"/>
    </row>
    <row r="986" spans="1:9" ht="24" customHeight="1">
      <c r="A986" s="66"/>
      <c r="B986" s="17"/>
      <c r="C986" s="8">
        <v>4440</v>
      </c>
      <c r="D986" s="169" t="s">
        <v>521</v>
      </c>
      <c r="E986" s="41">
        <v>63372</v>
      </c>
      <c r="F986" s="126"/>
      <c r="G986" s="41">
        <v>57420</v>
      </c>
      <c r="H986" s="233"/>
      <c r="I986" s="242"/>
    </row>
    <row r="987" spans="1:9" ht="24" customHeight="1">
      <c r="A987" s="66"/>
      <c r="B987" s="17"/>
      <c r="C987" s="8">
        <v>4520</v>
      </c>
      <c r="D987" s="169" t="s">
        <v>417</v>
      </c>
      <c r="E987" s="41">
        <v>620</v>
      </c>
      <c r="F987" s="126"/>
      <c r="G987" s="41">
        <v>1000</v>
      </c>
      <c r="H987" s="233"/>
      <c r="I987" s="242"/>
    </row>
    <row r="988" spans="1:9" ht="24" customHeight="1">
      <c r="A988" s="66"/>
      <c r="B988" s="17"/>
      <c r="C988" s="2">
        <v>4700</v>
      </c>
      <c r="D988" s="169" t="s">
        <v>418</v>
      </c>
      <c r="E988" s="41">
        <v>440</v>
      </c>
      <c r="F988" s="126"/>
      <c r="G988" s="41">
        <v>440</v>
      </c>
      <c r="H988" s="233"/>
      <c r="I988" s="241"/>
    </row>
    <row r="989" spans="1:9" ht="20.25" customHeight="1">
      <c r="A989" s="82"/>
      <c r="B989" s="23">
        <v>80113</v>
      </c>
      <c r="C989" s="24"/>
      <c r="D989" s="174" t="s">
        <v>323</v>
      </c>
      <c r="E989" s="38">
        <f>E990</f>
        <v>108800</v>
      </c>
      <c r="F989" s="225"/>
      <c r="G989" s="38">
        <f>G990</f>
        <v>120000</v>
      </c>
      <c r="H989" s="284"/>
      <c r="I989" s="241">
        <f>G989/E989*100</f>
        <v>110.29411764705883</v>
      </c>
    </row>
    <row r="990" spans="1:9" ht="16.5" customHeight="1">
      <c r="A990" s="66"/>
      <c r="B990" s="9"/>
      <c r="C990" s="2">
        <v>4300</v>
      </c>
      <c r="D990" s="169" t="s">
        <v>446</v>
      </c>
      <c r="E990" s="41">
        <v>108800</v>
      </c>
      <c r="F990" s="126"/>
      <c r="G990" s="41">
        <v>120000</v>
      </c>
      <c r="H990" s="233"/>
      <c r="I990" s="241"/>
    </row>
    <row r="991" spans="1:9" ht="24" customHeight="1">
      <c r="A991" s="66"/>
      <c r="B991" s="23">
        <v>80114</v>
      </c>
      <c r="C991" s="24"/>
      <c r="D991" s="174" t="s">
        <v>497</v>
      </c>
      <c r="E991" s="38">
        <f>SUM(E992:E1008)</f>
        <v>1394037</v>
      </c>
      <c r="F991" s="126"/>
      <c r="G991" s="38">
        <f>SUM(G992:G1008)</f>
        <v>1414975</v>
      </c>
      <c r="H991" s="233"/>
      <c r="I991" s="242">
        <f>G991/E991*100</f>
        <v>101.50196874257999</v>
      </c>
    </row>
    <row r="992" spans="1:9" ht="27" customHeight="1">
      <c r="A992" s="66"/>
      <c r="B992" s="15"/>
      <c r="C992" s="8">
        <v>3020</v>
      </c>
      <c r="D992" s="169" t="s">
        <v>284</v>
      </c>
      <c r="E992" s="41">
        <v>6000</v>
      </c>
      <c r="F992" s="126"/>
      <c r="G992" s="41">
        <v>4000</v>
      </c>
      <c r="H992" s="233"/>
      <c r="I992" s="289"/>
    </row>
    <row r="993" spans="1:9" ht="16.5" customHeight="1">
      <c r="A993" s="66"/>
      <c r="B993" s="17"/>
      <c r="C993" s="8">
        <v>4010</v>
      </c>
      <c r="D993" s="169" t="s">
        <v>492</v>
      </c>
      <c r="E993" s="41">
        <v>790951</v>
      </c>
      <c r="F993" s="126"/>
      <c r="G993" s="41">
        <v>816475</v>
      </c>
      <c r="H993" s="233"/>
      <c r="I993" s="242"/>
    </row>
    <row r="994" spans="1:9" ht="16.5" customHeight="1">
      <c r="A994" s="66"/>
      <c r="B994" s="17"/>
      <c r="C994" s="8">
        <v>4040</v>
      </c>
      <c r="D994" s="169" t="s">
        <v>493</v>
      </c>
      <c r="E994" s="41">
        <v>57286</v>
      </c>
      <c r="F994" s="126"/>
      <c r="G994" s="41">
        <v>62000</v>
      </c>
      <c r="H994" s="233"/>
      <c r="I994" s="242"/>
    </row>
    <row r="995" spans="1:9" ht="16.5" customHeight="1">
      <c r="A995" s="66"/>
      <c r="B995" s="17"/>
      <c r="C995" s="8">
        <v>4110</v>
      </c>
      <c r="D995" s="169" t="s">
        <v>519</v>
      </c>
      <c r="E995" s="41">
        <v>110400</v>
      </c>
      <c r="F995" s="126"/>
      <c r="G995" s="41">
        <v>111500</v>
      </c>
      <c r="H995" s="233"/>
      <c r="I995" s="242"/>
    </row>
    <row r="996" spans="1:9" ht="16.5" customHeight="1">
      <c r="A996" s="66"/>
      <c r="B996" s="17"/>
      <c r="C996" s="8">
        <v>4120</v>
      </c>
      <c r="D996" s="169" t="s">
        <v>520</v>
      </c>
      <c r="E996" s="41">
        <v>20600</v>
      </c>
      <c r="F996" s="126"/>
      <c r="G996" s="41">
        <v>20700</v>
      </c>
      <c r="H996" s="233"/>
      <c r="I996" s="242"/>
    </row>
    <row r="997" spans="1:9" ht="16.5" customHeight="1">
      <c r="A997" s="66"/>
      <c r="B997" s="17"/>
      <c r="C997" s="8">
        <v>4210</v>
      </c>
      <c r="D997" s="169" t="s">
        <v>449</v>
      </c>
      <c r="E997" s="41">
        <v>23000</v>
      </c>
      <c r="F997" s="126"/>
      <c r="G997" s="41">
        <v>23000</v>
      </c>
      <c r="H997" s="233"/>
      <c r="I997" s="242"/>
    </row>
    <row r="998" spans="1:9" ht="16.5" customHeight="1">
      <c r="A998" s="66"/>
      <c r="B998" s="17"/>
      <c r="C998" s="8">
        <v>4260</v>
      </c>
      <c r="D998" s="169" t="s">
        <v>533</v>
      </c>
      <c r="E998" s="41">
        <v>280000</v>
      </c>
      <c r="F998" s="126"/>
      <c r="G998" s="41">
        <v>270000</v>
      </c>
      <c r="H998" s="233"/>
      <c r="I998" s="242"/>
    </row>
    <row r="999" spans="1:9" ht="16.5" customHeight="1">
      <c r="A999" s="66"/>
      <c r="B999" s="17"/>
      <c r="C999" s="8">
        <v>4270</v>
      </c>
      <c r="D999" s="169" t="s">
        <v>450</v>
      </c>
      <c r="E999" s="41">
        <v>20000</v>
      </c>
      <c r="F999" s="126"/>
      <c r="G999" s="41">
        <v>16000</v>
      </c>
      <c r="H999" s="233"/>
      <c r="I999" s="242"/>
    </row>
    <row r="1000" spans="1:9" ht="16.5" customHeight="1">
      <c r="A1000" s="66"/>
      <c r="B1000" s="17"/>
      <c r="C1000" s="8">
        <v>4280</v>
      </c>
      <c r="D1000" s="169" t="s">
        <v>286</v>
      </c>
      <c r="E1000" s="41">
        <v>1000</v>
      </c>
      <c r="F1000" s="126"/>
      <c r="G1000" s="41">
        <v>5000</v>
      </c>
      <c r="H1000" s="233"/>
      <c r="I1000" s="242"/>
    </row>
    <row r="1001" spans="1:9" ht="16.5" customHeight="1">
      <c r="A1001" s="66"/>
      <c r="B1001" s="17"/>
      <c r="C1001" s="8">
        <v>4300</v>
      </c>
      <c r="D1001" s="169" t="s">
        <v>446</v>
      </c>
      <c r="E1001" s="41">
        <v>30000</v>
      </c>
      <c r="F1001" s="126"/>
      <c r="G1001" s="41">
        <v>32000</v>
      </c>
      <c r="H1001" s="233"/>
      <c r="I1001" s="242"/>
    </row>
    <row r="1002" spans="1:9" ht="26.25" customHeight="1">
      <c r="A1002" s="66"/>
      <c r="B1002" s="17"/>
      <c r="C1002" s="19">
        <v>4360</v>
      </c>
      <c r="D1002" s="169" t="s">
        <v>183</v>
      </c>
      <c r="E1002" s="41">
        <v>7000</v>
      </c>
      <c r="F1002" s="126"/>
      <c r="G1002" s="41">
        <v>6000</v>
      </c>
      <c r="H1002" s="233"/>
      <c r="I1002" s="242"/>
    </row>
    <row r="1003" spans="1:9" ht="16.5" customHeight="1">
      <c r="A1003" s="66"/>
      <c r="B1003" s="17"/>
      <c r="C1003" s="19">
        <v>4410</v>
      </c>
      <c r="D1003" s="169" t="s">
        <v>523</v>
      </c>
      <c r="E1003" s="41">
        <v>800</v>
      </c>
      <c r="F1003" s="126"/>
      <c r="G1003" s="41">
        <v>500</v>
      </c>
      <c r="H1003" s="233"/>
      <c r="I1003" s="242"/>
    </row>
    <row r="1004" spans="1:9" ht="16.5" customHeight="1">
      <c r="A1004" s="66"/>
      <c r="B1004" s="17"/>
      <c r="C1004" s="8">
        <v>4430</v>
      </c>
      <c r="D1004" s="169" t="s">
        <v>429</v>
      </c>
      <c r="E1004" s="41">
        <v>5147</v>
      </c>
      <c r="F1004" s="126"/>
      <c r="G1004" s="41">
        <v>6000</v>
      </c>
      <c r="H1004" s="233"/>
      <c r="I1004" s="242"/>
    </row>
    <row r="1005" spans="1:9" ht="24" customHeight="1">
      <c r="A1005" s="66"/>
      <c r="B1005" s="17"/>
      <c r="C1005" s="8">
        <v>4440</v>
      </c>
      <c r="D1005" s="169" t="s">
        <v>521</v>
      </c>
      <c r="E1005" s="41">
        <v>29200</v>
      </c>
      <c r="F1005" s="126"/>
      <c r="G1005" s="41">
        <v>28500</v>
      </c>
      <c r="H1005" s="233"/>
      <c r="I1005" s="242"/>
    </row>
    <row r="1006" spans="1:9" ht="16.5" customHeight="1">
      <c r="A1006" s="66"/>
      <c r="B1006" s="17"/>
      <c r="C1006" s="8">
        <v>4480</v>
      </c>
      <c r="D1006" s="169" t="s">
        <v>367</v>
      </c>
      <c r="E1006" s="41">
        <v>600</v>
      </c>
      <c r="F1006" s="126"/>
      <c r="G1006" s="41">
        <v>600</v>
      </c>
      <c r="H1006" s="233"/>
      <c r="I1006" s="242"/>
    </row>
    <row r="1007" spans="1:9" ht="24" customHeight="1">
      <c r="A1007" s="66"/>
      <c r="B1007" s="17"/>
      <c r="C1007" s="8">
        <v>4520</v>
      </c>
      <c r="D1007" s="169" t="s">
        <v>417</v>
      </c>
      <c r="E1007" s="41">
        <v>9200</v>
      </c>
      <c r="F1007" s="126"/>
      <c r="G1007" s="41">
        <v>9200</v>
      </c>
      <c r="H1007" s="233"/>
      <c r="I1007" s="242"/>
    </row>
    <row r="1008" spans="1:9" ht="24" customHeight="1">
      <c r="A1008" s="66"/>
      <c r="B1008" s="17"/>
      <c r="C1008" s="2">
        <v>4700</v>
      </c>
      <c r="D1008" s="169" t="s">
        <v>418</v>
      </c>
      <c r="E1008" s="41">
        <v>2853</v>
      </c>
      <c r="F1008" s="126"/>
      <c r="G1008" s="41">
        <v>3500</v>
      </c>
      <c r="H1008" s="233"/>
      <c r="I1008" s="241"/>
    </row>
    <row r="1009" spans="1:9" ht="20.25" customHeight="1">
      <c r="A1009" s="66"/>
      <c r="B1009" s="23">
        <v>80120</v>
      </c>
      <c r="C1009" s="24"/>
      <c r="D1009" s="174" t="s">
        <v>373</v>
      </c>
      <c r="E1009" s="38">
        <f>SUM(E1010:E1035)</f>
        <v>19253549</v>
      </c>
      <c r="F1009" s="126"/>
      <c r="G1009" s="38">
        <f>SUM(G1010:G1035)</f>
        <v>18979840</v>
      </c>
      <c r="H1009" s="233"/>
      <c r="I1009" s="242">
        <f>G1009/E1009*100</f>
        <v>98.5783971568047</v>
      </c>
    </row>
    <row r="1010" spans="1:9" ht="24" customHeight="1">
      <c r="A1010" s="66"/>
      <c r="B1010" s="15"/>
      <c r="C1010" s="8">
        <v>2540</v>
      </c>
      <c r="D1010" s="169" t="s">
        <v>421</v>
      </c>
      <c r="E1010" s="88">
        <v>1333800</v>
      </c>
      <c r="F1010" s="126"/>
      <c r="G1010" s="88">
        <v>1485000</v>
      </c>
      <c r="H1010" s="233"/>
      <c r="I1010" s="289"/>
    </row>
    <row r="1011" spans="1:9" ht="47.25" customHeight="1">
      <c r="A1011" s="66"/>
      <c r="B1011" s="17"/>
      <c r="C1011" s="8">
        <v>2590</v>
      </c>
      <c r="D1011" s="169" t="s">
        <v>110</v>
      </c>
      <c r="E1011" s="41">
        <v>329058</v>
      </c>
      <c r="F1011" s="126"/>
      <c r="G1011" s="41">
        <v>300000</v>
      </c>
      <c r="H1011" s="233"/>
      <c r="I1011" s="242"/>
    </row>
    <row r="1012" spans="1:9" ht="29.25" customHeight="1">
      <c r="A1012" s="66"/>
      <c r="B1012" s="17"/>
      <c r="C1012" s="8">
        <v>3020</v>
      </c>
      <c r="D1012" s="169" t="s">
        <v>284</v>
      </c>
      <c r="E1012" s="41">
        <v>126330</v>
      </c>
      <c r="F1012" s="126"/>
      <c r="G1012" s="41">
        <v>132490</v>
      </c>
      <c r="H1012" s="233"/>
      <c r="I1012" s="242"/>
    </row>
    <row r="1013" spans="1:9" ht="16.5" customHeight="1">
      <c r="A1013" s="66"/>
      <c r="B1013" s="17"/>
      <c r="C1013" s="8">
        <v>4010</v>
      </c>
      <c r="D1013" s="169" t="s">
        <v>492</v>
      </c>
      <c r="E1013" s="41">
        <v>12090227</v>
      </c>
      <c r="F1013" s="126"/>
      <c r="G1013" s="41">
        <v>11788242</v>
      </c>
      <c r="H1013" s="233"/>
      <c r="I1013" s="242"/>
    </row>
    <row r="1014" spans="1:9" ht="16.5" customHeight="1">
      <c r="A1014" s="66"/>
      <c r="B1014" s="17"/>
      <c r="C1014" s="8">
        <v>4040</v>
      </c>
      <c r="D1014" s="169" t="s">
        <v>493</v>
      </c>
      <c r="E1014" s="41">
        <v>987228</v>
      </c>
      <c r="F1014" s="126"/>
      <c r="G1014" s="41">
        <v>1032526</v>
      </c>
      <c r="H1014" s="233"/>
      <c r="I1014" s="242"/>
    </row>
    <row r="1015" spans="1:9" ht="16.5" customHeight="1">
      <c r="A1015" s="66"/>
      <c r="B1015" s="17"/>
      <c r="C1015" s="8">
        <v>4110</v>
      </c>
      <c r="D1015" s="169" t="s">
        <v>519</v>
      </c>
      <c r="E1015" s="41">
        <v>2149288</v>
      </c>
      <c r="F1015" s="126"/>
      <c r="G1015" s="41">
        <v>2147189</v>
      </c>
      <c r="H1015" s="233"/>
      <c r="I1015" s="242"/>
    </row>
    <row r="1016" spans="1:9" ht="16.5" customHeight="1">
      <c r="A1016" s="66"/>
      <c r="B1016" s="17"/>
      <c r="C1016" s="8">
        <v>4120</v>
      </c>
      <c r="D1016" s="169" t="s">
        <v>520</v>
      </c>
      <c r="E1016" s="41">
        <v>263097</v>
      </c>
      <c r="F1016" s="126"/>
      <c r="G1016" s="41">
        <v>300712</v>
      </c>
      <c r="H1016" s="233"/>
      <c r="I1016" s="242"/>
    </row>
    <row r="1017" spans="1:9" ht="24" customHeight="1">
      <c r="A1017" s="66"/>
      <c r="B1017" s="17"/>
      <c r="C1017" s="8">
        <v>4140</v>
      </c>
      <c r="D1017" s="169" t="s">
        <v>320</v>
      </c>
      <c r="E1017" s="41">
        <v>5090</v>
      </c>
      <c r="F1017" s="126"/>
      <c r="G1017" s="41">
        <v>5090</v>
      </c>
      <c r="H1017" s="233"/>
      <c r="I1017" s="242"/>
    </row>
    <row r="1018" spans="1:9" ht="16.5" customHeight="1">
      <c r="A1018" s="66"/>
      <c r="B1018" s="17"/>
      <c r="C1018" s="2">
        <v>4170</v>
      </c>
      <c r="D1018" s="169" t="s">
        <v>526</v>
      </c>
      <c r="E1018" s="41">
        <v>32525</v>
      </c>
      <c r="F1018" s="126"/>
      <c r="G1018" s="41">
        <v>37930</v>
      </c>
      <c r="H1018" s="233"/>
      <c r="I1018" s="242"/>
    </row>
    <row r="1019" spans="1:9" ht="16.5" customHeight="1">
      <c r="A1019" s="66"/>
      <c r="B1019" s="17"/>
      <c r="C1019" s="8">
        <v>4210</v>
      </c>
      <c r="D1019" s="169" t="s">
        <v>449</v>
      </c>
      <c r="E1019" s="41">
        <v>230085</v>
      </c>
      <c r="F1019" s="126"/>
      <c r="G1019" s="41">
        <v>169186</v>
      </c>
      <c r="H1019" s="233"/>
      <c r="I1019" s="242"/>
    </row>
    <row r="1020" spans="1:9" ht="18" customHeight="1">
      <c r="A1020" s="66"/>
      <c r="B1020" s="17"/>
      <c r="C1020" s="8">
        <v>4240</v>
      </c>
      <c r="D1020" s="169" t="s">
        <v>405</v>
      </c>
      <c r="E1020" s="41">
        <v>85354</v>
      </c>
      <c r="F1020" s="126"/>
      <c r="G1020" s="41">
        <v>46128</v>
      </c>
      <c r="H1020" s="233"/>
      <c r="I1020" s="242"/>
    </row>
    <row r="1021" spans="1:9" ht="16.5" customHeight="1">
      <c r="A1021" s="66"/>
      <c r="B1021" s="17"/>
      <c r="C1021" s="8">
        <v>4260</v>
      </c>
      <c r="D1021" s="169" t="s">
        <v>533</v>
      </c>
      <c r="E1021" s="41">
        <v>541801</v>
      </c>
      <c r="F1021" s="126"/>
      <c r="G1021" s="41">
        <v>559478</v>
      </c>
      <c r="H1021" s="233"/>
      <c r="I1021" s="242"/>
    </row>
    <row r="1022" spans="1:9" ht="16.5" customHeight="1">
      <c r="A1022" s="66"/>
      <c r="B1022" s="17"/>
      <c r="C1022" s="8">
        <v>4270</v>
      </c>
      <c r="D1022" s="169" t="s">
        <v>450</v>
      </c>
      <c r="E1022" s="41">
        <v>68375</v>
      </c>
      <c r="F1022" s="126"/>
      <c r="G1022" s="41">
        <v>62727</v>
      </c>
      <c r="H1022" s="233"/>
      <c r="I1022" s="242"/>
    </row>
    <row r="1023" spans="1:9" ht="16.5" customHeight="1">
      <c r="A1023" s="66"/>
      <c r="B1023" s="17"/>
      <c r="C1023" s="8">
        <v>4280</v>
      </c>
      <c r="D1023" s="169" t="s">
        <v>286</v>
      </c>
      <c r="E1023" s="41">
        <v>12297</v>
      </c>
      <c r="F1023" s="126"/>
      <c r="G1023" s="41">
        <v>13554</v>
      </c>
      <c r="H1023" s="233"/>
      <c r="I1023" s="242"/>
    </row>
    <row r="1024" spans="1:9" ht="16.5" customHeight="1">
      <c r="A1024" s="66"/>
      <c r="B1024" s="17"/>
      <c r="C1024" s="8">
        <v>4300</v>
      </c>
      <c r="D1024" s="169" t="s">
        <v>446</v>
      </c>
      <c r="E1024" s="41">
        <v>209448</v>
      </c>
      <c r="F1024" s="126"/>
      <c r="G1024" s="41">
        <v>138947</v>
      </c>
      <c r="H1024" s="233"/>
      <c r="I1024" s="242"/>
    </row>
    <row r="1025" spans="1:9" ht="27" customHeight="1">
      <c r="A1025" s="66"/>
      <c r="B1025" s="17"/>
      <c r="C1025" s="19">
        <v>4360</v>
      </c>
      <c r="D1025" s="169" t="s">
        <v>216</v>
      </c>
      <c r="E1025" s="41">
        <v>16871</v>
      </c>
      <c r="F1025" s="126"/>
      <c r="G1025" s="41">
        <v>16227</v>
      </c>
      <c r="H1025" s="233"/>
      <c r="I1025" s="242"/>
    </row>
    <row r="1026" spans="1:9" ht="24" customHeight="1">
      <c r="A1026" s="66"/>
      <c r="B1026" s="17"/>
      <c r="C1026" s="19">
        <v>4390</v>
      </c>
      <c r="D1026" s="201" t="s">
        <v>354</v>
      </c>
      <c r="E1026" s="41">
        <v>6205</v>
      </c>
      <c r="F1026" s="126"/>
      <c r="G1026" s="41">
        <v>5296</v>
      </c>
      <c r="H1026" s="233"/>
      <c r="I1026" s="242"/>
    </row>
    <row r="1027" spans="1:9" ht="16.5" customHeight="1">
      <c r="A1027" s="66"/>
      <c r="B1027" s="17"/>
      <c r="C1027" s="8">
        <v>4410</v>
      </c>
      <c r="D1027" s="169" t="s">
        <v>523</v>
      </c>
      <c r="E1027" s="41">
        <v>24205</v>
      </c>
      <c r="F1027" s="126"/>
      <c r="G1027" s="41">
        <v>19980</v>
      </c>
      <c r="H1027" s="233"/>
      <c r="I1027" s="242"/>
    </row>
    <row r="1028" spans="1:9" ht="16.5" customHeight="1">
      <c r="A1028" s="66"/>
      <c r="B1028" s="17"/>
      <c r="C1028" s="8">
        <v>4420</v>
      </c>
      <c r="D1028" s="169" t="s">
        <v>524</v>
      </c>
      <c r="E1028" s="41">
        <v>2123</v>
      </c>
      <c r="F1028" s="126"/>
      <c r="G1028" s="41">
        <v>5220</v>
      </c>
      <c r="H1028" s="233"/>
      <c r="I1028" s="242"/>
    </row>
    <row r="1029" spans="1:9" ht="16.5" customHeight="1">
      <c r="A1029" s="66"/>
      <c r="B1029" s="17"/>
      <c r="C1029" s="8">
        <v>4430</v>
      </c>
      <c r="D1029" s="169" t="s">
        <v>429</v>
      </c>
      <c r="E1029" s="41">
        <v>14833</v>
      </c>
      <c r="F1029" s="126"/>
      <c r="G1029" s="41">
        <v>13236</v>
      </c>
      <c r="H1029" s="233"/>
      <c r="I1029" s="242"/>
    </row>
    <row r="1030" spans="1:9" ht="24" customHeight="1">
      <c r="A1030" s="66"/>
      <c r="B1030" s="17"/>
      <c r="C1030" s="8">
        <v>4440</v>
      </c>
      <c r="D1030" s="169" t="s">
        <v>521</v>
      </c>
      <c r="E1030" s="41">
        <v>680133</v>
      </c>
      <c r="F1030" s="126"/>
      <c r="G1030" s="41">
        <v>672696</v>
      </c>
      <c r="H1030" s="233"/>
      <c r="I1030" s="242"/>
    </row>
    <row r="1031" spans="1:9" ht="16.5" customHeight="1">
      <c r="A1031" s="66"/>
      <c r="B1031" s="17"/>
      <c r="C1031" s="8">
        <v>4480</v>
      </c>
      <c r="D1031" s="169" t="s">
        <v>367</v>
      </c>
      <c r="E1031" s="41">
        <v>3492</v>
      </c>
      <c r="F1031" s="126"/>
      <c r="G1031" s="41">
        <v>3485</v>
      </c>
      <c r="H1031" s="233"/>
      <c r="I1031" s="242"/>
    </row>
    <row r="1032" spans="1:9" ht="16.5" customHeight="1">
      <c r="A1032" s="66"/>
      <c r="B1032" s="17"/>
      <c r="C1032" s="8">
        <v>4510</v>
      </c>
      <c r="D1032" s="169" t="s">
        <v>325</v>
      </c>
      <c r="E1032" s="41">
        <v>817</v>
      </c>
      <c r="F1032" s="126"/>
      <c r="G1032" s="41">
        <v>0</v>
      </c>
      <c r="H1032" s="233"/>
      <c r="I1032" s="242"/>
    </row>
    <row r="1033" spans="1:9" ht="24" customHeight="1">
      <c r="A1033" s="66"/>
      <c r="B1033" s="17"/>
      <c r="C1033" s="8">
        <v>4520</v>
      </c>
      <c r="D1033" s="169" t="s">
        <v>417</v>
      </c>
      <c r="E1033" s="41">
        <v>14673</v>
      </c>
      <c r="F1033" s="126"/>
      <c r="G1033" s="41">
        <v>16605</v>
      </c>
      <c r="H1033" s="233"/>
      <c r="I1033" s="242"/>
    </row>
    <row r="1034" spans="1:9" ht="24" customHeight="1">
      <c r="A1034" s="66"/>
      <c r="B1034" s="17"/>
      <c r="C1034" s="8">
        <v>4700</v>
      </c>
      <c r="D1034" s="169" t="s">
        <v>418</v>
      </c>
      <c r="E1034" s="41">
        <v>11313</v>
      </c>
      <c r="F1034" s="126"/>
      <c r="G1034" s="41">
        <v>7896</v>
      </c>
      <c r="H1034" s="233"/>
      <c r="I1034" s="242"/>
    </row>
    <row r="1035" spans="1:9" ht="24" customHeight="1">
      <c r="A1035" s="66"/>
      <c r="B1035" s="17"/>
      <c r="C1035" s="2">
        <v>6060</v>
      </c>
      <c r="D1035" s="169" t="s">
        <v>538</v>
      </c>
      <c r="E1035" s="41">
        <v>14881</v>
      </c>
      <c r="F1035" s="126"/>
      <c r="G1035" s="41">
        <v>0</v>
      </c>
      <c r="H1035" s="233"/>
      <c r="I1035" s="241"/>
    </row>
    <row r="1036" spans="1:9" ht="20.25" customHeight="1">
      <c r="A1036" s="66"/>
      <c r="B1036" s="24">
        <v>80123</v>
      </c>
      <c r="C1036" s="23"/>
      <c r="D1036" s="174" t="s">
        <v>136</v>
      </c>
      <c r="E1036" s="38">
        <f>SUM(E1037:E1039)</f>
        <v>13887</v>
      </c>
      <c r="F1036" s="126"/>
      <c r="G1036" s="38">
        <f>SUM(G1037:G1039)</f>
        <v>0</v>
      </c>
      <c r="H1036" s="233"/>
      <c r="I1036" s="242"/>
    </row>
    <row r="1037" spans="1:9" ht="16.5" customHeight="1">
      <c r="A1037" s="69"/>
      <c r="B1037" s="7"/>
      <c r="C1037" s="8">
        <v>4040</v>
      </c>
      <c r="D1037" s="169" t="s">
        <v>493</v>
      </c>
      <c r="E1037" s="41">
        <v>11687</v>
      </c>
      <c r="F1037" s="126"/>
      <c r="G1037" s="41"/>
      <c r="H1037" s="233"/>
      <c r="I1037" s="289"/>
    </row>
    <row r="1038" spans="1:9" ht="16.5" customHeight="1">
      <c r="A1038" s="69"/>
      <c r="B1038" s="7"/>
      <c r="C1038" s="8">
        <v>4110</v>
      </c>
      <c r="D1038" s="169" t="s">
        <v>519</v>
      </c>
      <c r="E1038" s="41">
        <v>2009</v>
      </c>
      <c r="F1038" s="126"/>
      <c r="G1038" s="41"/>
      <c r="H1038" s="233"/>
      <c r="I1038" s="242"/>
    </row>
    <row r="1039" spans="1:9" ht="16.5" customHeight="1">
      <c r="A1039" s="69"/>
      <c r="B1039" s="7"/>
      <c r="C1039" s="8">
        <v>4120</v>
      </c>
      <c r="D1039" s="169" t="s">
        <v>520</v>
      </c>
      <c r="E1039" s="41">
        <v>191</v>
      </c>
      <c r="F1039" s="126"/>
      <c r="G1039" s="41"/>
      <c r="H1039" s="233"/>
      <c r="I1039" s="241"/>
    </row>
    <row r="1040" spans="1:9" ht="20.25" customHeight="1">
      <c r="A1040" s="66"/>
      <c r="B1040" s="24">
        <v>80130</v>
      </c>
      <c r="C1040" s="23"/>
      <c r="D1040" s="174" t="s">
        <v>416</v>
      </c>
      <c r="E1040" s="38">
        <f>SUM(E1041:E1066)</f>
        <v>28222048</v>
      </c>
      <c r="F1040" s="126"/>
      <c r="G1040" s="38">
        <f>SUM(G1041:G1066)</f>
        <v>27999122</v>
      </c>
      <c r="H1040" s="233"/>
      <c r="I1040" s="242">
        <f>G1040/E1040*100</f>
        <v>99.21009984817543</v>
      </c>
    </row>
    <row r="1041" spans="1:9" ht="24" customHeight="1">
      <c r="A1041" s="66"/>
      <c r="B1041" s="27"/>
      <c r="C1041" s="8">
        <v>2540</v>
      </c>
      <c r="D1041" s="169" t="s">
        <v>288</v>
      </c>
      <c r="E1041" s="88">
        <v>2770130</v>
      </c>
      <c r="F1041" s="126"/>
      <c r="G1041" s="88">
        <v>2695000</v>
      </c>
      <c r="H1041" s="233"/>
      <c r="I1041" s="289"/>
    </row>
    <row r="1042" spans="1:9" ht="26.25" customHeight="1">
      <c r="A1042" s="66"/>
      <c r="B1042" s="17"/>
      <c r="C1042" s="8">
        <v>3020</v>
      </c>
      <c r="D1042" s="169" t="s">
        <v>284</v>
      </c>
      <c r="E1042" s="41">
        <v>84134</v>
      </c>
      <c r="F1042" s="126"/>
      <c r="G1042" s="41">
        <v>88767</v>
      </c>
      <c r="H1042" s="233"/>
      <c r="I1042" s="242"/>
    </row>
    <row r="1043" spans="1:9" ht="16.5" customHeight="1">
      <c r="A1043" s="66"/>
      <c r="B1043" s="17"/>
      <c r="C1043" s="8">
        <v>4010</v>
      </c>
      <c r="D1043" s="169" t="s">
        <v>492</v>
      </c>
      <c r="E1043" s="41">
        <v>17263303</v>
      </c>
      <c r="F1043" s="126"/>
      <c r="G1043" s="41">
        <v>17146304</v>
      </c>
      <c r="H1043" s="233"/>
      <c r="I1043" s="242"/>
    </row>
    <row r="1044" spans="1:9" ht="16.5" customHeight="1">
      <c r="A1044" s="66"/>
      <c r="B1044" s="17"/>
      <c r="C1044" s="8">
        <v>4040</v>
      </c>
      <c r="D1044" s="169" t="s">
        <v>493</v>
      </c>
      <c r="E1044" s="41">
        <v>1480740</v>
      </c>
      <c r="F1044" s="126"/>
      <c r="G1044" s="41">
        <v>1487611</v>
      </c>
      <c r="H1044" s="233"/>
      <c r="I1044" s="242"/>
    </row>
    <row r="1045" spans="1:9" ht="16.5" customHeight="1">
      <c r="A1045" s="66"/>
      <c r="B1045" s="17"/>
      <c r="C1045" s="8">
        <v>4110</v>
      </c>
      <c r="D1045" s="169" t="s">
        <v>519</v>
      </c>
      <c r="E1045" s="41">
        <v>3099015</v>
      </c>
      <c r="F1045" s="126"/>
      <c r="G1045" s="41">
        <v>3264253</v>
      </c>
      <c r="H1045" s="233"/>
      <c r="I1045" s="242"/>
    </row>
    <row r="1046" spans="1:9" ht="16.5" customHeight="1">
      <c r="A1046" s="66"/>
      <c r="B1046" s="17"/>
      <c r="C1046" s="8">
        <v>4120</v>
      </c>
      <c r="D1046" s="169" t="s">
        <v>520</v>
      </c>
      <c r="E1046" s="41">
        <v>376246</v>
      </c>
      <c r="F1046" s="126"/>
      <c r="G1046" s="41">
        <v>426647</v>
      </c>
      <c r="H1046" s="233"/>
      <c r="I1046" s="242"/>
    </row>
    <row r="1047" spans="1:9" ht="24" customHeight="1">
      <c r="A1047" s="66"/>
      <c r="B1047" s="17"/>
      <c r="C1047" s="8">
        <v>4140</v>
      </c>
      <c r="D1047" s="169" t="s">
        <v>320</v>
      </c>
      <c r="E1047" s="41">
        <v>3380</v>
      </c>
      <c r="F1047" s="126"/>
      <c r="G1047" s="41">
        <v>4710</v>
      </c>
      <c r="H1047" s="233"/>
      <c r="I1047" s="242"/>
    </row>
    <row r="1048" spans="1:9" ht="16.5" customHeight="1">
      <c r="A1048" s="66"/>
      <c r="B1048" s="17"/>
      <c r="C1048" s="2">
        <v>4170</v>
      </c>
      <c r="D1048" s="169" t="s">
        <v>526</v>
      </c>
      <c r="E1048" s="41">
        <v>74618</v>
      </c>
      <c r="F1048" s="126"/>
      <c r="G1048" s="41">
        <v>74010</v>
      </c>
      <c r="H1048" s="233"/>
      <c r="I1048" s="242"/>
    </row>
    <row r="1049" spans="1:9" ht="16.5" customHeight="1">
      <c r="A1049" s="66"/>
      <c r="B1049" s="17"/>
      <c r="C1049" s="8">
        <v>4210</v>
      </c>
      <c r="D1049" s="169" t="s">
        <v>449</v>
      </c>
      <c r="E1049" s="41">
        <v>332891</v>
      </c>
      <c r="F1049" s="126"/>
      <c r="G1049" s="41">
        <v>320888</v>
      </c>
      <c r="H1049" s="233"/>
      <c r="I1049" s="242"/>
    </row>
    <row r="1050" spans="1:9" ht="18.75" customHeight="1">
      <c r="A1050" s="66"/>
      <c r="B1050" s="17"/>
      <c r="C1050" s="8">
        <v>4240</v>
      </c>
      <c r="D1050" s="169" t="s">
        <v>405</v>
      </c>
      <c r="E1050" s="41">
        <v>427064</v>
      </c>
      <c r="F1050" s="126"/>
      <c r="G1050" s="41">
        <v>261557</v>
      </c>
      <c r="H1050" s="233"/>
      <c r="I1050" s="242"/>
    </row>
    <row r="1051" spans="1:9" ht="16.5" customHeight="1">
      <c r="A1051" s="66"/>
      <c r="B1051" s="17"/>
      <c r="C1051" s="8">
        <v>4260</v>
      </c>
      <c r="D1051" s="169" t="s">
        <v>533</v>
      </c>
      <c r="E1051" s="41">
        <v>743778</v>
      </c>
      <c r="F1051" s="126"/>
      <c r="G1051" s="41">
        <v>723086</v>
      </c>
      <c r="H1051" s="233"/>
      <c r="I1051" s="242"/>
    </row>
    <row r="1052" spans="1:9" ht="16.5" customHeight="1">
      <c r="A1052" s="66"/>
      <c r="B1052" s="17"/>
      <c r="C1052" s="8">
        <v>4270</v>
      </c>
      <c r="D1052" s="169" t="s">
        <v>450</v>
      </c>
      <c r="E1052" s="41">
        <v>127839</v>
      </c>
      <c r="F1052" s="126"/>
      <c r="G1052" s="41">
        <v>123248</v>
      </c>
      <c r="H1052" s="233"/>
      <c r="I1052" s="242"/>
    </row>
    <row r="1053" spans="1:9" ht="16.5" customHeight="1">
      <c r="A1053" s="66"/>
      <c r="B1053" s="17"/>
      <c r="C1053" s="8">
        <v>4280</v>
      </c>
      <c r="D1053" s="169" t="s">
        <v>286</v>
      </c>
      <c r="E1053" s="41">
        <v>18774</v>
      </c>
      <c r="F1053" s="126"/>
      <c r="G1053" s="41">
        <v>20162</v>
      </c>
      <c r="H1053" s="233"/>
      <c r="I1053" s="242"/>
    </row>
    <row r="1054" spans="1:9" ht="16.5" customHeight="1">
      <c r="A1054" s="66"/>
      <c r="B1054" s="17"/>
      <c r="C1054" s="8">
        <v>4300</v>
      </c>
      <c r="D1054" s="169" t="s">
        <v>446</v>
      </c>
      <c r="E1054" s="41">
        <v>250438</v>
      </c>
      <c r="F1054" s="126"/>
      <c r="G1054" s="41">
        <v>264649</v>
      </c>
      <c r="H1054" s="233"/>
      <c r="I1054" s="242"/>
    </row>
    <row r="1055" spans="1:9" ht="24.75" customHeight="1">
      <c r="A1055" s="66"/>
      <c r="B1055" s="17"/>
      <c r="C1055" s="19">
        <v>4360</v>
      </c>
      <c r="D1055" s="169" t="s">
        <v>216</v>
      </c>
      <c r="E1055" s="41">
        <v>35205</v>
      </c>
      <c r="F1055" s="126"/>
      <c r="G1055" s="41">
        <v>36038</v>
      </c>
      <c r="H1055" s="233"/>
      <c r="I1055" s="242"/>
    </row>
    <row r="1056" spans="1:9" ht="24.75" customHeight="1">
      <c r="A1056" s="66"/>
      <c r="B1056" s="17"/>
      <c r="C1056" s="19">
        <v>4390</v>
      </c>
      <c r="D1056" s="201" t="s">
        <v>354</v>
      </c>
      <c r="E1056" s="41">
        <v>6172</v>
      </c>
      <c r="F1056" s="126"/>
      <c r="G1056" s="41">
        <v>6884</v>
      </c>
      <c r="H1056" s="233"/>
      <c r="I1056" s="242"/>
    </row>
    <row r="1057" spans="1:9" ht="16.5" customHeight="1">
      <c r="A1057" s="66"/>
      <c r="B1057" s="17"/>
      <c r="C1057" s="8">
        <v>4410</v>
      </c>
      <c r="D1057" s="169" t="s">
        <v>523</v>
      </c>
      <c r="E1057" s="41">
        <v>29041</v>
      </c>
      <c r="F1057" s="126"/>
      <c r="G1057" s="41">
        <v>22660</v>
      </c>
      <c r="H1057" s="233"/>
      <c r="I1057" s="242"/>
    </row>
    <row r="1058" spans="1:9" ht="16.5" customHeight="1">
      <c r="A1058" s="66"/>
      <c r="B1058" s="17"/>
      <c r="C1058" s="8">
        <v>4420</v>
      </c>
      <c r="D1058" s="169" t="s">
        <v>524</v>
      </c>
      <c r="E1058" s="41">
        <v>1280</v>
      </c>
      <c r="F1058" s="126"/>
      <c r="G1058" s="41">
        <v>4380</v>
      </c>
      <c r="H1058" s="233"/>
      <c r="I1058" s="242"/>
    </row>
    <row r="1059" spans="1:9" ht="16.5" customHeight="1">
      <c r="A1059" s="66"/>
      <c r="B1059" s="17"/>
      <c r="C1059" s="8">
        <v>4430</v>
      </c>
      <c r="D1059" s="169" t="s">
        <v>429</v>
      </c>
      <c r="E1059" s="41">
        <v>21560</v>
      </c>
      <c r="F1059" s="126"/>
      <c r="G1059" s="41">
        <v>22300</v>
      </c>
      <c r="H1059" s="233"/>
      <c r="I1059" s="242"/>
    </row>
    <row r="1060" spans="1:9" ht="23.25" customHeight="1">
      <c r="A1060" s="66"/>
      <c r="B1060" s="17"/>
      <c r="C1060" s="8">
        <v>4440</v>
      </c>
      <c r="D1060" s="169" t="s">
        <v>521</v>
      </c>
      <c r="E1060" s="41">
        <v>996721</v>
      </c>
      <c r="F1060" s="126"/>
      <c r="G1060" s="41">
        <v>919936</v>
      </c>
      <c r="H1060" s="233"/>
      <c r="I1060" s="242"/>
    </row>
    <row r="1061" spans="1:9" ht="15.75" customHeight="1">
      <c r="A1061" s="66"/>
      <c r="B1061" s="17"/>
      <c r="C1061" s="8">
        <v>4480</v>
      </c>
      <c r="D1061" s="169" t="s">
        <v>367</v>
      </c>
      <c r="E1061" s="41">
        <v>2919</v>
      </c>
      <c r="F1061" s="126"/>
      <c r="G1061" s="41">
        <v>2345</v>
      </c>
      <c r="H1061" s="233"/>
      <c r="I1061" s="242"/>
    </row>
    <row r="1062" spans="1:9" ht="24" customHeight="1">
      <c r="A1062" s="66"/>
      <c r="B1062" s="17"/>
      <c r="C1062" s="8">
        <v>4510</v>
      </c>
      <c r="D1062" s="169" t="s">
        <v>417</v>
      </c>
      <c r="E1062" s="41">
        <v>531</v>
      </c>
      <c r="F1062" s="126"/>
      <c r="G1062" s="41">
        <v>0</v>
      </c>
      <c r="H1062" s="233"/>
      <c r="I1062" s="242"/>
    </row>
    <row r="1063" spans="1:9" ht="24" customHeight="1">
      <c r="A1063" s="66"/>
      <c r="B1063" s="17"/>
      <c r="C1063" s="8">
        <v>4520</v>
      </c>
      <c r="D1063" s="169" t="s">
        <v>417</v>
      </c>
      <c r="E1063" s="41">
        <v>42511</v>
      </c>
      <c r="F1063" s="126"/>
      <c r="G1063" s="41">
        <v>40270</v>
      </c>
      <c r="H1063" s="233"/>
      <c r="I1063" s="242"/>
    </row>
    <row r="1064" spans="1:9" ht="24" customHeight="1">
      <c r="A1064" s="66"/>
      <c r="B1064" s="17"/>
      <c r="C1064" s="2">
        <v>4700</v>
      </c>
      <c r="D1064" s="169" t="s">
        <v>418</v>
      </c>
      <c r="E1064" s="41">
        <v>9747</v>
      </c>
      <c r="F1064" s="126"/>
      <c r="G1064" s="41">
        <v>14417</v>
      </c>
      <c r="H1064" s="233"/>
      <c r="I1064" s="242"/>
    </row>
    <row r="1065" spans="1:9" ht="24" customHeight="1">
      <c r="A1065" s="66"/>
      <c r="B1065" s="17"/>
      <c r="C1065" s="2">
        <v>6050</v>
      </c>
      <c r="D1065" s="169" t="s">
        <v>507</v>
      </c>
      <c r="E1065" s="41"/>
      <c r="F1065" s="126"/>
      <c r="G1065" s="41">
        <v>29000</v>
      </c>
      <c r="H1065" s="233"/>
      <c r="I1065" s="242"/>
    </row>
    <row r="1066" spans="1:9" ht="24" customHeight="1">
      <c r="A1066" s="66"/>
      <c r="B1066" s="17"/>
      <c r="C1066" s="2">
        <v>6060</v>
      </c>
      <c r="D1066" s="169" t="s">
        <v>538</v>
      </c>
      <c r="E1066" s="41">
        <v>24011</v>
      </c>
      <c r="F1066" s="126"/>
      <c r="G1066" s="41">
        <v>0</v>
      </c>
      <c r="H1066" s="233"/>
      <c r="I1066" s="241"/>
    </row>
    <row r="1067" spans="1:9" ht="20.25" customHeight="1">
      <c r="A1067" s="82"/>
      <c r="B1067" s="24">
        <v>80132</v>
      </c>
      <c r="C1067" s="23"/>
      <c r="D1067" s="174" t="s">
        <v>312</v>
      </c>
      <c r="E1067" s="38">
        <f>SUM(E1068:E1069)</f>
        <v>23000</v>
      </c>
      <c r="F1067" s="225"/>
      <c r="G1067" s="38">
        <f>SUM(G1068:G1069)</f>
        <v>8000</v>
      </c>
      <c r="H1067" s="284"/>
      <c r="I1067" s="242">
        <f>G1067/E1067*100</f>
        <v>34.78260869565217</v>
      </c>
    </row>
    <row r="1068" spans="1:9" ht="15.75" customHeight="1">
      <c r="A1068" s="82"/>
      <c r="B1068" s="30"/>
      <c r="C1068" s="8">
        <v>4210</v>
      </c>
      <c r="D1068" s="169" t="s">
        <v>449</v>
      </c>
      <c r="E1068" s="41">
        <v>3000</v>
      </c>
      <c r="F1068" s="126"/>
      <c r="G1068" s="41">
        <v>3000</v>
      </c>
      <c r="H1068" s="233"/>
      <c r="I1068" s="289"/>
    </row>
    <row r="1069" spans="1:9" ht="15.75" customHeight="1">
      <c r="A1069" s="66"/>
      <c r="B1069" s="17"/>
      <c r="C1069" s="8">
        <v>4300</v>
      </c>
      <c r="D1069" s="169" t="s">
        <v>446</v>
      </c>
      <c r="E1069" s="41">
        <v>20000</v>
      </c>
      <c r="F1069" s="126"/>
      <c r="G1069" s="41">
        <v>5000</v>
      </c>
      <c r="H1069" s="233"/>
      <c r="I1069" s="241"/>
    </row>
    <row r="1070" spans="1:9" ht="20.25" customHeight="1">
      <c r="A1070" s="66"/>
      <c r="B1070" s="23">
        <v>80134</v>
      </c>
      <c r="C1070" s="23"/>
      <c r="D1070" s="174" t="s">
        <v>137</v>
      </c>
      <c r="E1070" s="38">
        <f>SUM(E1071:E1086)</f>
        <v>514975</v>
      </c>
      <c r="F1070" s="126"/>
      <c r="G1070" s="38">
        <f>SUM(G1071:G1086)</f>
        <v>475063</v>
      </c>
      <c r="H1070" s="233"/>
      <c r="I1070" s="242">
        <f>G1070/E1070*100</f>
        <v>92.24972086023593</v>
      </c>
    </row>
    <row r="1071" spans="1:9" ht="22.5" customHeight="1">
      <c r="A1071" s="66"/>
      <c r="B1071" s="15"/>
      <c r="C1071" s="8">
        <v>3020</v>
      </c>
      <c r="D1071" s="169" t="s">
        <v>284</v>
      </c>
      <c r="E1071" s="88">
        <v>350</v>
      </c>
      <c r="F1071" s="126"/>
      <c r="G1071" s="88">
        <v>350</v>
      </c>
      <c r="H1071" s="233"/>
      <c r="I1071" s="289"/>
    </row>
    <row r="1072" spans="1:9" ht="16.5" customHeight="1">
      <c r="A1072" s="66"/>
      <c r="B1072" s="17"/>
      <c r="C1072" s="8">
        <v>4010</v>
      </c>
      <c r="D1072" s="169" t="s">
        <v>492</v>
      </c>
      <c r="E1072" s="41">
        <v>366212</v>
      </c>
      <c r="F1072" s="126"/>
      <c r="G1072" s="41">
        <v>334490</v>
      </c>
      <c r="H1072" s="233"/>
      <c r="I1072" s="242"/>
    </row>
    <row r="1073" spans="1:9" ht="16.5" customHeight="1">
      <c r="A1073" s="66"/>
      <c r="B1073" s="17"/>
      <c r="C1073" s="8">
        <v>4040</v>
      </c>
      <c r="D1073" s="169" t="s">
        <v>493</v>
      </c>
      <c r="E1073" s="41">
        <v>33271</v>
      </c>
      <c r="F1073" s="126"/>
      <c r="G1073" s="41">
        <v>30590</v>
      </c>
      <c r="H1073" s="233"/>
      <c r="I1073" s="242"/>
    </row>
    <row r="1074" spans="1:9" ht="16.5" customHeight="1">
      <c r="A1074" s="66"/>
      <c r="B1074" s="17"/>
      <c r="C1074" s="8">
        <v>4110</v>
      </c>
      <c r="D1074" s="169" t="s">
        <v>519</v>
      </c>
      <c r="E1074" s="41">
        <v>68940</v>
      </c>
      <c r="F1074" s="126"/>
      <c r="G1074" s="41">
        <v>63740</v>
      </c>
      <c r="H1074" s="233"/>
      <c r="I1074" s="242"/>
    </row>
    <row r="1075" spans="1:9" ht="16.5" customHeight="1">
      <c r="A1075" s="66"/>
      <c r="B1075" s="17"/>
      <c r="C1075" s="8">
        <v>4120</v>
      </c>
      <c r="D1075" s="169" t="s">
        <v>520</v>
      </c>
      <c r="E1075" s="41">
        <v>7920</v>
      </c>
      <c r="F1075" s="126"/>
      <c r="G1075" s="41">
        <v>8940</v>
      </c>
      <c r="H1075" s="233"/>
      <c r="I1075" s="242"/>
    </row>
    <row r="1076" spans="1:9" ht="16.5" customHeight="1">
      <c r="A1076" s="66"/>
      <c r="B1076" s="17"/>
      <c r="C1076" s="8">
        <v>4210</v>
      </c>
      <c r="D1076" s="169" t="s">
        <v>449</v>
      </c>
      <c r="E1076" s="41">
        <v>4930</v>
      </c>
      <c r="F1076" s="126"/>
      <c r="G1076" s="41">
        <v>4930</v>
      </c>
      <c r="H1076" s="233"/>
      <c r="I1076" s="242"/>
    </row>
    <row r="1077" spans="1:9" ht="16.5" customHeight="1">
      <c r="A1077" s="66"/>
      <c r="B1077" s="17"/>
      <c r="C1077" s="8">
        <v>4240</v>
      </c>
      <c r="D1077" s="169" t="s">
        <v>405</v>
      </c>
      <c r="E1077" s="41">
        <v>75</v>
      </c>
      <c r="F1077" s="126"/>
      <c r="G1077" s="41">
        <v>235</v>
      </c>
      <c r="H1077" s="233"/>
      <c r="I1077" s="242"/>
    </row>
    <row r="1078" spans="1:9" ht="16.5" customHeight="1">
      <c r="A1078" s="66"/>
      <c r="B1078" s="17"/>
      <c r="C1078" s="8">
        <v>4260</v>
      </c>
      <c r="D1078" s="169" t="s">
        <v>533</v>
      </c>
      <c r="E1078" s="41">
        <v>9560</v>
      </c>
      <c r="F1078" s="126"/>
      <c r="G1078" s="41">
        <v>10560</v>
      </c>
      <c r="H1078" s="233"/>
      <c r="I1078" s="242"/>
    </row>
    <row r="1079" spans="1:9" ht="16.5" customHeight="1">
      <c r="A1079" s="66"/>
      <c r="B1079" s="17"/>
      <c r="C1079" s="8">
        <v>4270</v>
      </c>
      <c r="D1079" s="169" t="s">
        <v>450</v>
      </c>
      <c r="E1079" s="41">
        <v>1218</v>
      </c>
      <c r="F1079" s="126"/>
      <c r="G1079" s="41">
        <v>218</v>
      </c>
      <c r="H1079" s="233"/>
      <c r="I1079" s="242"/>
    </row>
    <row r="1080" spans="1:9" ht="16.5" customHeight="1">
      <c r="A1080" s="66"/>
      <c r="B1080" s="17"/>
      <c r="C1080" s="8">
        <v>4280</v>
      </c>
      <c r="D1080" s="169" t="s">
        <v>286</v>
      </c>
      <c r="E1080" s="41">
        <v>160</v>
      </c>
      <c r="F1080" s="126"/>
      <c r="G1080" s="41">
        <v>460</v>
      </c>
      <c r="H1080" s="233"/>
      <c r="I1080" s="242"/>
    </row>
    <row r="1081" spans="1:9" ht="16.5" customHeight="1">
      <c r="A1081" s="66"/>
      <c r="B1081" s="17"/>
      <c r="C1081" s="8">
        <v>4300</v>
      </c>
      <c r="D1081" s="169" t="s">
        <v>446</v>
      </c>
      <c r="E1081" s="41">
        <v>1170</v>
      </c>
      <c r="F1081" s="126"/>
      <c r="G1081" s="41">
        <v>1170</v>
      </c>
      <c r="H1081" s="233"/>
      <c r="I1081" s="242"/>
    </row>
    <row r="1082" spans="1:9" ht="24" customHeight="1">
      <c r="A1082" s="66"/>
      <c r="B1082" s="17"/>
      <c r="C1082" s="19">
        <v>4360</v>
      </c>
      <c r="D1082" s="169" t="s">
        <v>183</v>
      </c>
      <c r="E1082" s="41">
        <v>270</v>
      </c>
      <c r="F1082" s="126"/>
      <c r="G1082" s="41">
        <v>270</v>
      </c>
      <c r="H1082" s="233"/>
      <c r="I1082" s="242"/>
    </row>
    <row r="1083" spans="1:9" ht="17.25" customHeight="1">
      <c r="A1083" s="66"/>
      <c r="B1083" s="17"/>
      <c r="C1083" s="8">
        <v>4430</v>
      </c>
      <c r="D1083" s="169" t="s">
        <v>429</v>
      </c>
      <c r="E1083" s="41">
        <v>920</v>
      </c>
      <c r="F1083" s="126"/>
      <c r="G1083" s="41">
        <v>920</v>
      </c>
      <c r="H1083" s="233"/>
      <c r="I1083" s="242"/>
    </row>
    <row r="1084" spans="1:9" ht="24" customHeight="1">
      <c r="A1084" s="66"/>
      <c r="B1084" s="17"/>
      <c r="C1084" s="8">
        <v>4440</v>
      </c>
      <c r="D1084" s="169" t="s">
        <v>521</v>
      </c>
      <c r="E1084" s="41">
        <v>19209</v>
      </c>
      <c r="F1084" s="126"/>
      <c r="G1084" s="41">
        <v>17280</v>
      </c>
      <c r="H1084" s="233"/>
      <c r="I1084" s="242"/>
    </row>
    <row r="1085" spans="1:9" ht="24" customHeight="1">
      <c r="A1085" s="66"/>
      <c r="B1085" s="17"/>
      <c r="C1085" s="8">
        <v>4520</v>
      </c>
      <c r="D1085" s="169" t="s">
        <v>417</v>
      </c>
      <c r="E1085" s="41">
        <v>260</v>
      </c>
      <c r="F1085" s="126"/>
      <c r="G1085" s="41">
        <v>400</v>
      </c>
      <c r="H1085" s="233"/>
      <c r="I1085" s="242"/>
    </row>
    <row r="1086" spans="1:9" ht="24" customHeight="1">
      <c r="A1086" s="66"/>
      <c r="B1086" s="17"/>
      <c r="C1086" s="2">
        <v>4700</v>
      </c>
      <c r="D1086" s="169" t="s">
        <v>418</v>
      </c>
      <c r="E1086" s="41">
        <v>510</v>
      </c>
      <c r="F1086" s="126"/>
      <c r="G1086" s="41">
        <v>510</v>
      </c>
      <c r="H1086" s="233"/>
      <c r="I1086" s="241"/>
    </row>
    <row r="1087" spans="1:9" ht="39.75" customHeight="1">
      <c r="A1087" s="66"/>
      <c r="B1087" s="27">
        <v>80140</v>
      </c>
      <c r="C1087" s="23"/>
      <c r="D1087" s="174" t="s">
        <v>138</v>
      </c>
      <c r="E1087" s="38">
        <f>SUM(E1088:E1109)</f>
        <v>2521028</v>
      </c>
      <c r="F1087" s="126"/>
      <c r="G1087" s="38">
        <f>SUM(G1088:G1109)</f>
        <v>2459138</v>
      </c>
      <c r="H1087" s="233"/>
      <c r="I1087" s="242">
        <f>G1087/E1087*100</f>
        <v>97.5450490831518</v>
      </c>
    </row>
    <row r="1088" spans="1:9" s="53" customFormat="1" ht="23.25" customHeight="1">
      <c r="A1088" s="66"/>
      <c r="B1088" s="15"/>
      <c r="C1088" s="8">
        <v>3020</v>
      </c>
      <c r="D1088" s="169" t="s">
        <v>284</v>
      </c>
      <c r="E1088" s="88">
        <v>13946</v>
      </c>
      <c r="F1088" s="126"/>
      <c r="G1088" s="88">
        <v>8866</v>
      </c>
      <c r="H1088" s="233"/>
      <c r="I1088" s="289"/>
    </row>
    <row r="1089" spans="1:9" ht="16.5" customHeight="1">
      <c r="A1089" s="66"/>
      <c r="B1089" s="17"/>
      <c r="C1089" s="8">
        <v>4010</v>
      </c>
      <c r="D1089" s="169" t="s">
        <v>492</v>
      </c>
      <c r="E1089" s="41">
        <v>1261524</v>
      </c>
      <c r="F1089" s="126"/>
      <c r="G1089" s="41">
        <v>1254608</v>
      </c>
      <c r="H1089" s="233"/>
      <c r="I1089" s="242"/>
    </row>
    <row r="1090" spans="1:9" ht="16.5" customHeight="1">
      <c r="A1090" s="66"/>
      <c r="B1090" s="17"/>
      <c r="C1090" s="8">
        <v>4040</v>
      </c>
      <c r="D1090" s="169" t="s">
        <v>493</v>
      </c>
      <c r="E1090" s="41">
        <v>104040</v>
      </c>
      <c r="F1090" s="126"/>
      <c r="G1090" s="41">
        <v>99555</v>
      </c>
      <c r="H1090" s="233"/>
      <c r="I1090" s="242"/>
    </row>
    <row r="1091" spans="1:9" ht="16.5" customHeight="1">
      <c r="A1091" s="66"/>
      <c r="B1091" s="17"/>
      <c r="C1091" s="8">
        <v>4110</v>
      </c>
      <c r="D1091" s="169" t="s">
        <v>519</v>
      </c>
      <c r="E1091" s="41">
        <v>236979</v>
      </c>
      <c r="F1091" s="126"/>
      <c r="G1091" s="41">
        <v>214071</v>
      </c>
      <c r="H1091" s="233"/>
      <c r="I1091" s="242"/>
    </row>
    <row r="1092" spans="1:9" ht="16.5" customHeight="1">
      <c r="A1092" s="66"/>
      <c r="B1092" s="17" t="s">
        <v>307</v>
      </c>
      <c r="C1092" s="8">
        <v>4120</v>
      </c>
      <c r="D1092" s="169" t="s">
        <v>520</v>
      </c>
      <c r="E1092" s="41">
        <v>29582</v>
      </c>
      <c r="F1092" s="126"/>
      <c r="G1092" s="41">
        <v>29212</v>
      </c>
      <c r="H1092" s="233"/>
      <c r="I1092" s="242"/>
    </row>
    <row r="1093" spans="1:9" ht="16.5" customHeight="1">
      <c r="A1093" s="66"/>
      <c r="B1093" s="17"/>
      <c r="C1093" s="2">
        <v>4170</v>
      </c>
      <c r="D1093" s="169" t="s">
        <v>526</v>
      </c>
      <c r="E1093" s="41">
        <v>40420</v>
      </c>
      <c r="F1093" s="126"/>
      <c r="G1093" s="41">
        <v>60600</v>
      </c>
      <c r="H1093" s="233"/>
      <c r="I1093" s="242"/>
    </row>
    <row r="1094" spans="1:9" ht="16.5" customHeight="1">
      <c r="A1094" s="66"/>
      <c r="B1094" s="17"/>
      <c r="C1094" s="8">
        <v>4210</v>
      </c>
      <c r="D1094" s="169" t="s">
        <v>449</v>
      </c>
      <c r="E1094" s="41">
        <v>203258</v>
      </c>
      <c r="F1094" s="126"/>
      <c r="G1094" s="41">
        <v>201169</v>
      </c>
      <c r="H1094" s="233"/>
      <c r="I1094" s="242"/>
    </row>
    <row r="1095" spans="1:9" ht="16.5" customHeight="1">
      <c r="A1095" s="66"/>
      <c r="B1095" s="17"/>
      <c r="C1095" s="2">
        <v>4220</v>
      </c>
      <c r="D1095" s="169" t="s">
        <v>322</v>
      </c>
      <c r="E1095" s="41">
        <v>1500</v>
      </c>
      <c r="F1095" s="126"/>
      <c r="G1095" s="41">
        <v>1500</v>
      </c>
      <c r="H1095" s="233"/>
      <c r="I1095" s="242"/>
    </row>
    <row r="1096" spans="1:9" ht="24" customHeight="1">
      <c r="A1096" s="66"/>
      <c r="B1096" s="17"/>
      <c r="C1096" s="8">
        <v>4230</v>
      </c>
      <c r="D1096" s="169" t="s">
        <v>289</v>
      </c>
      <c r="E1096" s="41">
        <v>600</v>
      </c>
      <c r="F1096" s="126"/>
      <c r="G1096" s="41">
        <v>600</v>
      </c>
      <c r="H1096" s="233"/>
      <c r="I1096" s="242"/>
    </row>
    <row r="1097" spans="1:9" ht="18" customHeight="1">
      <c r="A1097" s="66"/>
      <c r="B1097" s="17"/>
      <c r="C1097" s="8">
        <v>4240</v>
      </c>
      <c r="D1097" s="169" t="s">
        <v>405</v>
      </c>
      <c r="E1097" s="41">
        <v>156476</v>
      </c>
      <c r="F1097" s="126"/>
      <c r="G1097" s="41">
        <v>143635</v>
      </c>
      <c r="H1097" s="233"/>
      <c r="I1097" s="242"/>
    </row>
    <row r="1098" spans="1:9" ht="16.5" customHeight="1">
      <c r="A1098" s="66"/>
      <c r="B1098" s="17"/>
      <c r="C1098" s="8">
        <v>4260</v>
      </c>
      <c r="D1098" s="169" t="s">
        <v>533</v>
      </c>
      <c r="E1098" s="41">
        <v>181338</v>
      </c>
      <c r="F1098" s="126"/>
      <c r="G1098" s="41">
        <v>154927</v>
      </c>
      <c r="H1098" s="233"/>
      <c r="I1098" s="242"/>
    </row>
    <row r="1099" spans="1:9" ht="16.5" customHeight="1">
      <c r="A1099" s="66"/>
      <c r="B1099" s="17"/>
      <c r="C1099" s="8">
        <v>4270</v>
      </c>
      <c r="D1099" s="169" t="s">
        <v>450</v>
      </c>
      <c r="E1099" s="41">
        <v>119657</v>
      </c>
      <c r="F1099" s="126"/>
      <c r="G1099" s="41">
        <v>119454</v>
      </c>
      <c r="H1099" s="233"/>
      <c r="I1099" s="242"/>
    </row>
    <row r="1100" spans="1:9" ht="16.5" customHeight="1">
      <c r="A1100" s="66"/>
      <c r="B1100" s="17"/>
      <c r="C1100" s="8">
        <v>4280</v>
      </c>
      <c r="D1100" s="169" t="s">
        <v>286</v>
      </c>
      <c r="E1100" s="41">
        <v>1034</v>
      </c>
      <c r="F1100" s="126"/>
      <c r="G1100" s="41">
        <v>1709</v>
      </c>
      <c r="H1100" s="233"/>
      <c r="I1100" s="242"/>
    </row>
    <row r="1101" spans="1:9" ht="16.5" customHeight="1">
      <c r="A1101" s="66"/>
      <c r="B1101" s="17"/>
      <c r="C1101" s="8">
        <v>4300</v>
      </c>
      <c r="D1101" s="169" t="s">
        <v>446</v>
      </c>
      <c r="E1101" s="41">
        <v>69453</v>
      </c>
      <c r="F1101" s="126"/>
      <c r="G1101" s="41">
        <v>70864</v>
      </c>
      <c r="H1101" s="233"/>
      <c r="I1101" s="242"/>
    </row>
    <row r="1102" spans="1:9" ht="24" customHeight="1">
      <c r="A1102" s="66"/>
      <c r="B1102" s="17"/>
      <c r="C1102" s="19">
        <v>4360</v>
      </c>
      <c r="D1102" s="169" t="s">
        <v>216</v>
      </c>
      <c r="E1102" s="41">
        <v>5422</v>
      </c>
      <c r="F1102" s="126"/>
      <c r="G1102" s="41">
        <v>6155</v>
      </c>
      <c r="H1102" s="233"/>
      <c r="I1102" s="242"/>
    </row>
    <row r="1103" spans="1:9" ht="24" customHeight="1">
      <c r="A1103" s="66"/>
      <c r="B1103" s="17"/>
      <c r="C1103" s="19">
        <v>4390</v>
      </c>
      <c r="D1103" s="201" t="s">
        <v>354</v>
      </c>
      <c r="E1103" s="41">
        <v>197</v>
      </c>
      <c r="F1103" s="126"/>
      <c r="G1103" s="41">
        <v>4364</v>
      </c>
      <c r="H1103" s="233"/>
      <c r="I1103" s="242"/>
    </row>
    <row r="1104" spans="1:9" ht="16.5" customHeight="1">
      <c r="A1104" s="66"/>
      <c r="B1104" s="17"/>
      <c r="C1104" s="8">
        <v>4410</v>
      </c>
      <c r="D1104" s="169" t="s">
        <v>523</v>
      </c>
      <c r="E1104" s="41">
        <v>2750</v>
      </c>
      <c r="F1104" s="126"/>
      <c r="G1104" s="41">
        <v>2700</v>
      </c>
      <c r="H1104" s="233"/>
      <c r="I1104" s="242"/>
    </row>
    <row r="1105" spans="1:9" ht="16.5" customHeight="1">
      <c r="A1105" s="66"/>
      <c r="B1105" s="17"/>
      <c r="C1105" s="8">
        <v>4430</v>
      </c>
      <c r="D1105" s="169" t="s">
        <v>429</v>
      </c>
      <c r="E1105" s="41">
        <v>17226</v>
      </c>
      <c r="F1105" s="126"/>
      <c r="G1105" s="41">
        <v>17900</v>
      </c>
      <c r="H1105" s="233"/>
      <c r="I1105" s="242"/>
    </row>
    <row r="1106" spans="1:9" ht="23.25" customHeight="1">
      <c r="A1106" s="66"/>
      <c r="B1106" s="17"/>
      <c r="C1106" s="8">
        <v>4440</v>
      </c>
      <c r="D1106" s="169" t="s">
        <v>521</v>
      </c>
      <c r="E1106" s="41">
        <v>64467</v>
      </c>
      <c r="F1106" s="126"/>
      <c r="G1106" s="41">
        <v>55740</v>
      </c>
      <c r="H1106" s="233"/>
      <c r="I1106" s="242"/>
    </row>
    <row r="1107" spans="1:9" ht="15.75" customHeight="1">
      <c r="A1107" s="66"/>
      <c r="B1107" s="17"/>
      <c r="C1107" s="8">
        <v>4480</v>
      </c>
      <c r="D1107" s="169" t="s">
        <v>367</v>
      </c>
      <c r="E1107" s="41">
        <v>2500</v>
      </c>
      <c r="F1107" s="126"/>
      <c r="G1107" s="41">
        <v>2900</v>
      </c>
      <c r="H1107" s="233"/>
      <c r="I1107" s="242"/>
    </row>
    <row r="1108" spans="1:9" ht="24" customHeight="1">
      <c r="A1108" s="66"/>
      <c r="B1108" s="17"/>
      <c r="C1108" s="8">
        <v>4520</v>
      </c>
      <c r="D1108" s="169" t="s">
        <v>417</v>
      </c>
      <c r="E1108" s="41">
        <v>3739</v>
      </c>
      <c r="F1108" s="126"/>
      <c r="G1108" s="41">
        <v>4200</v>
      </c>
      <c r="H1108" s="233"/>
      <c r="I1108" s="242"/>
    </row>
    <row r="1109" spans="1:9" ht="24" customHeight="1">
      <c r="A1109" s="66"/>
      <c r="B1109" s="17"/>
      <c r="C1109" s="2">
        <v>4700</v>
      </c>
      <c r="D1109" s="169" t="s">
        <v>418</v>
      </c>
      <c r="E1109" s="41">
        <v>4920</v>
      </c>
      <c r="F1109" s="126"/>
      <c r="G1109" s="41">
        <v>4409</v>
      </c>
      <c r="H1109" s="233"/>
      <c r="I1109" s="241"/>
    </row>
    <row r="1110" spans="1:9" ht="24.75" customHeight="1">
      <c r="A1110" s="66"/>
      <c r="B1110" s="23">
        <v>80144</v>
      </c>
      <c r="C1110" s="23"/>
      <c r="D1110" s="174" t="s">
        <v>217</v>
      </c>
      <c r="E1110" s="28">
        <f>SUM(E1111:E1125)</f>
        <v>595732</v>
      </c>
      <c r="F1110" s="126"/>
      <c r="G1110" s="28">
        <f>SUM(G1111:G1125)</f>
        <v>682268</v>
      </c>
      <c r="H1110" s="233"/>
      <c r="I1110" s="242">
        <f>G1110/E1110*100</f>
        <v>114.5259949104631</v>
      </c>
    </row>
    <row r="1111" spans="1:9" ht="22.5" customHeight="1">
      <c r="A1111" s="66"/>
      <c r="B1111" s="30"/>
      <c r="C1111" s="8">
        <v>3020</v>
      </c>
      <c r="D1111" s="169" t="s">
        <v>284</v>
      </c>
      <c r="E1111" s="88">
        <v>3630</v>
      </c>
      <c r="F1111" s="126"/>
      <c r="G1111" s="88">
        <v>1630</v>
      </c>
      <c r="H1111" s="233"/>
      <c r="I1111" s="289"/>
    </row>
    <row r="1112" spans="1:9" ht="16.5" customHeight="1">
      <c r="A1112" s="66"/>
      <c r="B1112" s="17"/>
      <c r="C1112" s="8">
        <v>4010</v>
      </c>
      <c r="D1112" s="169" t="s">
        <v>492</v>
      </c>
      <c r="E1112" s="88">
        <v>404690</v>
      </c>
      <c r="F1112" s="126"/>
      <c r="G1112" s="88">
        <v>483190</v>
      </c>
      <c r="H1112" s="233"/>
      <c r="I1112" s="242"/>
    </row>
    <row r="1113" spans="1:9" ht="16.5" customHeight="1">
      <c r="A1113" s="66"/>
      <c r="B1113" s="17"/>
      <c r="C1113" s="8">
        <v>4040</v>
      </c>
      <c r="D1113" s="169" t="s">
        <v>493</v>
      </c>
      <c r="E1113" s="41">
        <v>26213</v>
      </c>
      <c r="F1113" s="126"/>
      <c r="G1113" s="41">
        <v>33780</v>
      </c>
      <c r="H1113" s="233"/>
      <c r="I1113" s="242"/>
    </row>
    <row r="1114" spans="1:9" ht="16.5" customHeight="1">
      <c r="A1114" s="66"/>
      <c r="B1114" s="17"/>
      <c r="C1114" s="8">
        <v>4110</v>
      </c>
      <c r="D1114" s="169" t="s">
        <v>519</v>
      </c>
      <c r="E1114" s="41">
        <v>71120</v>
      </c>
      <c r="F1114" s="126"/>
      <c r="G1114" s="41">
        <v>90260</v>
      </c>
      <c r="H1114" s="233"/>
      <c r="I1114" s="242"/>
    </row>
    <row r="1115" spans="1:9" ht="16.5" customHeight="1">
      <c r="A1115" s="66"/>
      <c r="B1115" s="17"/>
      <c r="C1115" s="8">
        <v>4120</v>
      </c>
      <c r="D1115" s="169" t="s">
        <v>520</v>
      </c>
      <c r="E1115" s="41">
        <v>7400</v>
      </c>
      <c r="F1115" s="126"/>
      <c r="G1115" s="41">
        <v>12670</v>
      </c>
      <c r="H1115" s="233"/>
      <c r="I1115" s="242"/>
    </row>
    <row r="1116" spans="1:9" ht="16.5" customHeight="1">
      <c r="A1116" s="66"/>
      <c r="B1116" s="17"/>
      <c r="C1116" s="8">
        <v>4210</v>
      </c>
      <c r="D1116" s="169" t="s">
        <v>449</v>
      </c>
      <c r="E1116" s="41">
        <v>7030</v>
      </c>
      <c r="F1116" s="126"/>
      <c r="G1116" s="41">
        <v>3030</v>
      </c>
      <c r="H1116" s="233"/>
      <c r="I1116" s="242"/>
    </row>
    <row r="1117" spans="1:9" ht="15.75" customHeight="1">
      <c r="A1117" s="66"/>
      <c r="B1117" s="17"/>
      <c r="C1117" s="8">
        <v>4240</v>
      </c>
      <c r="D1117" s="169" t="s">
        <v>405</v>
      </c>
      <c r="E1117" s="41">
        <v>158</v>
      </c>
      <c r="F1117" s="126"/>
      <c r="G1117" s="41">
        <v>158</v>
      </c>
      <c r="H1117" s="233"/>
      <c r="I1117" s="242"/>
    </row>
    <row r="1118" spans="1:9" ht="16.5" customHeight="1">
      <c r="A1118" s="66"/>
      <c r="B1118" s="17"/>
      <c r="C1118" s="8">
        <v>4260</v>
      </c>
      <c r="D1118" s="169" t="s">
        <v>533</v>
      </c>
      <c r="E1118" s="86">
        <v>37750</v>
      </c>
      <c r="F1118" s="126"/>
      <c r="G1118" s="86">
        <v>22750</v>
      </c>
      <c r="H1118" s="233"/>
      <c r="I1118" s="242"/>
    </row>
    <row r="1119" spans="1:9" ht="16.5" customHeight="1">
      <c r="A1119" s="66"/>
      <c r="B1119" s="17"/>
      <c r="C1119" s="8">
        <v>4270</v>
      </c>
      <c r="D1119" s="169" t="s">
        <v>450</v>
      </c>
      <c r="E1119" s="86">
        <v>5883</v>
      </c>
      <c r="F1119" s="126"/>
      <c r="G1119" s="86">
        <v>883</v>
      </c>
      <c r="H1119" s="233"/>
      <c r="I1119" s="242"/>
    </row>
    <row r="1120" spans="1:9" ht="16.5" customHeight="1">
      <c r="A1120" s="66"/>
      <c r="B1120" s="17"/>
      <c r="C1120" s="8">
        <v>4280</v>
      </c>
      <c r="D1120" s="169" t="s">
        <v>286</v>
      </c>
      <c r="E1120" s="86">
        <v>139</v>
      </c>
      <c r="F1120" s="126"/>
      <c r="G1120" s="86">
        <v>567</v>
      </c>
      <c r="H1120" s="233"/>
      <c r="I1120" s="242"/>
    </row>
    <row r="1121" spans="1:9" ht="16.5" customHeight="1">
      <c r="A1121" s="66"/>
      <c r="B1121" s="17"/>
      <c r="C1121" s="8">
        <v>4300</v>
      </c>
      <c r="D1121" s="169" t="s">
        <v>446</v>
      </c>
      <c r="E1121" s="86">
        <v>7200</v>
      </c>
      <c r="F1121" s="126"/>
      <c r="G1121" s="86">
        <v>4900</v>
      </c>
      <c r="H1121" s="233"/>
      <c r="I1121" s="242"/>
    </row>
    <row r="1122" spans="1:9" ht="24" customHeight="1">
      <c r="A1122" s="66"/>
      <c r="B1122" s="17"/>
      <c r="C1122" s="19">
        <v>4360</v>
      </c>
      <c r="D1122" s="169" t="s">
        <v>183</v>
      </c>
      <c r="E1122" s="86">
        <v>970</v>
      </c>
      <c r="F1122" s="126"/>
      <c r="G1122" s="86">
        <v>970</v>
      </c>
      <c r="H1122" s="233"/>
      <c r="I1122" s="242"/>
    </row>
    <row r="1123" spans="1:9" ht="16.5" customHeight="1">
      <c r="A1123" s="66"/>
      <c r="B1123" s="17"/>
      <c r="C1123" s="8">
        <v>4430</v>
      </c>
      <c r="D1123" s="169" t="s">
        <v>429</v>
      </c>
      <c r="E1123" s="86">
        <v>260</v>
      </c>
      <c r="F1123" s="126"/>
      <c r="G1123" s="86">
        <v>260</v>
      </c>
      <c r="H1123" s="233"/>
      <c r="I1123" s="242"/>
    </row>
    <row r="1124" spans="1:9" ht="24" customHeight="1">
      <c r="A1124" s="66"/>
      <c r="B1124" s="17"/>
      <c r="C1124" s="8">
        <v>4440</v>
      </c>
      <c r="D1124" s="169" t="s">
        <v>521</v>
      </c>
      <c r="E1124" s="86">
        <v>22089</v>
      </c>
      <c r="F1124" s="126"/>
      <c r="G1124" s="86">
        <v>25920</v>
      </c>
      <c r="H1124" s="233"/>
      <c r="I1124" s="242"/>
    </row>
    <row r="1125" spans="1:9" ht="24" customHeight="1">
      <c r="A1125" s="66"/>
      <c r="B1125" s="17"/>
      <c r="C1125" s="8">
        <v>4520</v>
      </c>
      <c r="D1125" s="169" t="s">
        <v>417</v>
      </c>
      <c r="E1125" s="86">
        <v>1200</v>
      </c>
      <c r="F1125" s="126"/>
      <c r="G1125" s="86">
        <v>1300</v>
      </c>
      <c r="H1125" s="233"/>
      <c r="I1125" s="241"/>
    </row>
    <row r="1126" spans="1:9" ht="20.25" customHeight="1">
      <c r="A1126" s="82"/>
      <c r="B1126" s="24">
        <v>80145</v>
      </c>
      <c r="C1126" s="27"/>
      <c r="D1126" s="203" t="s">
        <v>303</v>
      </c>
      <c r="E1126" s="121">
        <f>SUM(E1127:E1132)</f>
        <v>19371</v>
      </c>
      <c r="F1126" s="225"/>
      <c r="G1126" s="121">
        <f>SUM(G1127:G1132)</f>
        <v>17620</v>
      </c>
      <c r="H1126" s="284"/>
      <c r="I1126" s="242">
        <f>G1126/E1126*100</f>
        <v>90.96071447008414</v>
      </c>
    </row>
    <row r="1127" spans="1:9" ht="15.75" customHeight="1">
      <c r="A1127" s="66"/>
      <c r="B1127" s="17"/>
      <c r="C1127" s="8">
        <v>4110</v>
      </c>
      <c r="D1127" s="169" t="s">
        <v>519</v>
      </c>
      <c r="E1127" s="86">
        <v>447</v>
      </c>
      <c r="F1127" s="126"/>
      <c r="G1127" s="86">
        <v>450</v>
      </c>
      <c r="H1127" s="233"/>
      <c r="I1127" s="289"/>
    </row>
    <row r="1128" spans="1:9" ht="15.75" customHeight="1">
      <c r="A1128" s="66"/>
      <c r="B1128" s="17"/>
      <c r="C1128" s="8">
        <v>4120</v>
      </c>
      <c r="D1128" s="169" t="s">
        <v>520</v>
      </c>
      <c r="E1128" s="86">
        <v>70</v>
      </c>
      <c r="F1128" s="126"/>
      <c r="G1128" s="86">
        <v>70</v>
      </c>
      <c r="H1128" s="233"/>
      <c r="I1128" s="242"/>
    </row>
    <row r="1129" spans="1:9" ht="15.75" customHeight="1">
      <c r="A1129" s="66"/>
      <c r="B1129" s="17"/>
      <c r="C1129" s="2">
        <v>4170</v>
      </c>
      <c r="D1129" s="169" t="s">
        <v>526</v>
      </c>
      <c r="E1129" s="86">
        <v>2600</v>
      </c>
      <c r="F1129" s="126"/>
      <c r="G1129" s="86">
        <v>2600</v>
      </c>
      <c r="H1129" s="233"/>
      <c r="I1129" s="242"/>
    </row>
    <row r="1130" spans="1:9" ht="15.75" customHeight="1">
      <c r="A1130" s="66"/>
      <c r="B1130" s="17"/>
      <c r="C1130" s="8">
        <v>4210</v>
      </c>
      <c r="D1130" s="169" t="s">
        <v>449</v>
      </c>
      <c r="E1130" s="86">
        <v>5398</v>
      </c>
      <c r="F1130" s="126"/>
      <c r="G1130" s="86">
        <v>3700</v>
      </c>
      <c r="H1130" s="233"/>
      <c r="I1130" s="242"/>
    </row>
    <row r="1131" spans="1:9" ht="17.25" customHeight="1">
      <c r="A1131" s="66"/>
      <c r="B1131" s="17"/>
      <c r="C1131" s="8">
        <v>4240</v>
      </c>
      <c r="D1131" s="169" t="s">
        <v>405</v>
      </c>
      <c r="E1131" s="86">
        <v>8856</v>
      </c>
      <c r="F1131" s="126"/>
      <c r="G1131" s="86">
        <v>9800</v>
      </c>
      <c r="H1131" s="233"/>
      <c r="I1131" s="242"/>
    </row>
    <row r="1132" spans="1:9" ht="16.5" customHeight="1">
      <c r="A1132" s="66"/>
      <c r="B1132" s="17"/>
      <c r="C1132" s="8">
        <v>4300</v>
      </c>
      <c r="D1132" s="169" t="s">
        <v>446</v>
      </c>
      <c r="E1132" s="86">
        <v>2000</v>
      </c>
      <c r="F1132" s="126"/>
      <c r="G1132" s="86">
        <v>1000</v>
      </c>
      <c r="H1132" s="233"/>
      <c r="I1132" s="242"/>
    </row>
    <row r="1133" spans="1:9" ht="20.25" customHeight="1">
      <c r="A1133" s="66"/>
      <c r="B1133" s="24">
        <v>80146</v>
      </c>
      <c r="C1133" s="24"/>
      <c r="D1133" s="174" t="s">
        <v>257</v>
      </c>
      <c r="E1133" s="38">
        <f>SUM(E1134:E1152)</f>
        <v>830856</v>
      </c>
      <c r="F1133" s="126"/>
      <c r="G1133" s="38">
        <f>SUM(G1134:G1152)</f>
        <v>838223</v>
      </c>
      <c r="H1133" s="233"/>
      <c r="I1133" s="242">
        <f>G1133/E1133*100</f>
        <v>100.88667591014568</v>
      </c>
    </row>
    <row r="1134" spans="1:9" ht="24.75" customHeight="1">
      <c r="A1134" s="66"/>
      <c r="B1134" s="30"/>
      <c r="C1134" s="19">
        <v>3020</v>
      </c>
      <c r="D1134" s="201" t="s">
        <v>284</v>
      </c>
      <c r="E1134" s="88">
        <v>931</v>
      </c>
      <c r="F1134" s="126"/>
      <c r="G1134" s="88">
        <v>955</v>
      </c>
      <c r="H1134" s="233"/>
      <c r="I1134" s="289"/>
    </row>
    <row r="1135" spans="1:9" ht="16.5" customHeight="1">
      <c r="A1135" s="66"/>
      <c r="B1135" s="30"/>
      <c r="C1135" s="8">
        <v>4010</v>
      </c>
      <c r="D1135" s="169" t="s">
        <v>492</v>
      </c>
      <c r="E1135" s="41">
        <v>287766</v>
      </c>
      <c r="F1135" s="126"/>
      <c r="G1135" s="41">
        <v>279996</v>
      </c>
      <c r="H1135" s="233"/>
      <c r="I1135" s="242"/>
    </row>
    <row r="1136" spans="1:9" ht="16.5" customHeight="1">
      <c r="A1136" s="66"/>
      <c r="B1136" s="30"/>
      <c r="C1136" s="8">
        <v>4040</v>
      </c>
      <c r="D1136" s="169" t="s">
        <v>493</v>
      </c>
      <c r="E1136" s="41">
        <v>17294</v>
      </c>
      <c r="F1136" s="126"/>
      <c r="G1136" s="41">
        <v>18220</v>
      </c>
      <c r="H1136" s="233"/>
      <c r="I1136" s="242"/>
    </row>
    <row r="1137" spans="1:9" ht="16.5" customHeight="1">
      <c r="A1137" s="66"/>
      <c r="B1137" s="30"/>
      <c r="C1137" s="8">
        <v>4110</v>
      </c>
      <c r="D1137" s="169" t="s">
        <v>519</v>
      </c>
      <c r="E1137" s="41">
        <v>52380</v>
      </c>
      <c r="F1137" s="126"/>
      <c r="G1137" s="41">
        <v>57827</v>
      </c>
      <c r="H1137" s="233"/>
      <c r="I1137" s="242"/>
    </row>
    <row r="1138" spans="1:9" ht="16.5" customHeight="1">
      <c r="A1138" s="66"/>
      <c r="B1138" s="30"/>
      <c r="C1138" s="8">
        <v>4120</v>
      </c>
      <c r="D1138" s="169" t="s">
        <v>520</v>
      </c>
      <c r="E1138" s="41">
        <v>3732</v>
      </c>
      <c r="F1138" s="126"/>
      <c r="G1138" s="41">
        <v>4927</v>
      </c>
      <c r="H1138" s="233"/>
      <c r="I1138" s="242"/>
    </row>
    <row r="1139" spans="1:9" ht="16.5" customHeight="1">
      <c r="A1139" s="66"/>
      <c r="B1139" s="30"/>
      <c r="C1139" s="2">
        <v>4170</v>
      </c>
      <c r="D1139" s="169" t="s">
        <v>526</v>
      </c>
      <c r="E1139" s="41">
        <v>57200</v>
      </c>
      <c r="F1139" s="126"/>
      <c r="G1139" s="41">
        <v>60000</v>
      </c>
      <c r="H1139" s="233"/>
      <c r="I1139" s="242"/>
    </row>
    <row r="1140" spans="1:9" ht="16.5" customHeight="1">
      <c r="A1140" s="66"/>
      <c r="B1140" s="30"/>
      <c r="C1140" s="8">
        <v>4190</v>
      </c>
      <c r="D1140" s="169" t="s">
        <v>175</v>
      </c>
      <c r="E1140" s="41">
        <v>2500</v>
      </c>
      <c r="F1140" s="126"/>
      <c r="G1140" s="41">
        <v>2500</v>
      </c>
      <c r="H1140" s="233"/>
      <c r="I1140" s="242"/>
    </row>
    <row r="1141" spans="1:9" ht="16.5" customHeight="1">
      <c r="A1141" s="66"/>
      <c r="B1141" s="30"/>
      <c r="C1141" s="8">
        <v>4210</v>
      </c>
      <c r="D1141" s="169" t="s">
        <v>449</v>
      </c>
      <c r="E1141" s="41">
        <v>29000</v>
      </c>
      <c r="F1141" s="126"/>
      <c r="G1141" s="41">
        <v>31653</v>
      </c>
      <c r="H1141" s="233"/>
      <c r="I1141" s="242"/>
    </row>
    <row r="1142" spans="1:9" ht="16.5" customHeight="1">
      <c r="A1142" s="66"/>
      <c r="B1142" s="30"/>
      <c r="C1142" s="8">
        <v>4240</v>
      </c>
      <c r="D1142" s="169" t="s">
        <v>405</v>
      </c>
      <c r="E1142" s="41">
        <v>8500</v>
      </c>
      <c r="F1142" s="126"/>
      <c r="G1142" s="41">
        <v>10700</v>
      </c>
      <c r="H1142" s="233"/>
      <c r="I1142" s="242"/>
    </row>
    <row r="1143" spans="1:9" ht="16.5" customHeight="1">
      <c r="A1143" s="66"/>
      <c r="B1143" s="30"/>
      <c r="C1143" s="8">
        <v>4260</v>
      </c>
      <c r="D1143" s="169" t="s">
        <v>533</v>
      </c>
      <c r="E1143" s="41">
        <v>13080</v>
      </c>
      <c r="F1143" s="126"/>
      <c r="G1143" s="41">
        <v>13700</v>
      </c>
      <c r="H1143" s="233"/>
      <c r="I1143" s="242"/>
    </row>
    <row r="1144" spans="1:9" ht="16.5" customHeight="1">
      <c r="A1144" s="66"/>
      <c r="B1144" s="30"/>
      <c r="C1144" s="8">
        <v>4270</v>
      </c>
      <c r="D1144" s="169" t="s">
        <v>450</v>
      </c>
      <c r="E1144" s="41">
        <v>7000</v>
      </c>
      <c r="F1144" s="126"/>
      <c r="G1144" s="41">
        <v>2000</v>
      </c>
      <c r="H1144" s="233"/>
      <c r="I1144" s="242"/>
    </row>
    <row r="1145" spans="1:9" ht="16.5" customHeight="1">
      <c r="A1145" s="66"/>
      <c r="B1145" s="30"/>
      <c r="C1145" s="8">
        <v>4280</v>
      </c>
      <c r="D1145" s="169" t="s">
        <v>286</v>
      </c>
      <c r="E1145" s="41">
        <v>300</v>
      </c>
      <c r="F1145" s="126"/>
      <c r="G1145" s="41">
        <v>150</v>
      </c>
      <c r="H1145" s="233"/>
      <c r="I1145" s="242"/>
    </row>
    <row r="1146" spans="1:9" ht="16.5" customHeight="1">
      <c r="A1146" s="66"/>
      <c r="B1146" s="17"/>
      <c r="C1146" s="8">
        <v>4300</v>
      </c>
      <c r="D1146" s="169" t="s">
        <v>446</v>
      </c>
      <c r="E1146" s="41">
        <v>122150</v>
      </c>
      <c r="F1146" s="126"/>
      <c r="G1146" s="41">
        <v>121799</v>
      </c>
      <c r="H1146" s="233"/>
      <c r="I1146" s="242"/>
    </row>
    <row r="1147" spans="1:9" ht="23.25" customHeight="1">
      <c r="A1147" s="66"/>
      <c r="B1147" s="17"/>
      <c r="C1147" s="19">
        <v>4360</v>
      </c>
      <c r="D1147" s="169" t="s">
        <v>183</v>
      </c>
      <c r="E1147" s="41">
        <v>2600</v>
      </c>
      <c r="F1147" s="126"/>
      <c r="G1147" s="41">
        <v>3500</v>
      </c>
      <c r="H1147" s="233"/>
      <c r="I1147" s="242"/>
    </row>
    <row r="1148" spans="1:9" s="53" customFormat="1" ht="26.25" customHeight="1">
      <c r="A1148" s="66"/>
      <c r="B1148" s="17"/>
      <c r="C1148" s="19">
        <v>4400</v>
      </c>
      <c r="D1148" s="201" t="s">
        <v>218</v>
      </c>
      <c r="E1148" s="41">
        <v>28700</v>
      </c>
      <c r="F1148" s="126"/>
      <c r="G1148" s="41">
        <v>29559</v>
      </c>
      <c r="H1148" s="233"/>
      <c r="I1148" s="242"/>
    </row>
    <row r="1149" spans="1:9" ht="15.75" customHeight="1">
      <c r="A1149" s="66"/>
      <c r="B1149" s="17"/>
      <c r="C1149" s="8">
        <v>4410</v>
      </c>
      <c r="D1149" s="169" t="s">
        <v>523</v>
      </c>
      <c r="E1149" s="41">
        <v>40132</v>
      </c>
      <c r="F1149" s="126"/>
      <c r="G1149" s="41">
        <v>38953</v>
      </c>
      <c r="H1149" s="233"/>
      <c r="I1149" s="242"/>
    </row>
    <row r="1150" spans="1:9" ht="15.75" customHeight="1">
      <c r="A1150" s="66"/>
      <c r="B1150" s="17"/>
      <c r="C1150" s="8">
        <v>4430</v>
      </c>
      <c r="D1150" s="169" t="s">
        <v>429</v>
      </c>
      <c r="E1150" s="41">
        <v>800</v>
      </c>
      <c r="F1150" s="126"/>
      <c r="G1150" s="41">
        <v>1500</v>
      </c>
      <c r="H1150" s="233"/>
      <c r="I1150" s="242"/>
    </row>
    <row r="1151" spans="1:9" ht="23.25" customHeight="1">
      <c r="A1151" s="66"/>
      <c r="B1151" s="17"/>
      <c r="C1151" s="8">
        <v>4440</v>
      </c>
      <c r="D1151" s="169" t="s">
        <v>521</v>
      </c>
      <c r="E1151" s="41">
        <v>8960</v>
      </c>
      <c r="F1151" s="126"/>
      <c r="G1151" s="41">
        <v>8951</v>
      </c>
      <c r="H1151" s="233"/>
      <c r="I1151" s="242"/>
    </row>
    <row r="1152" spans="1:9" ht="23.25" customHeight="1">
      <c r="A1152" s="66"/>
      <c r="B1152" s="17"/>
      <c r="C1152" s="8">
        <v>4700</v>
      </c>
      <c r="D1152" s="169" t="s">
        <v>418</v>
      </c>
      <c r="E1152" s="41">
        <v>147831</v>
      </c>
      <c r="F1152" s="126"/>
      <c r="G1152" s="41">
        <v>151333</v>
      </c>
      <c r="H1152" s="233"/>
      <c r="I1152" s="241"/>
    </row>
    <row r="1153" spans="1:9" ht="20.25" customHeight="1">
      <c r="A1153" s="66"/>
      <c r="B1153" s="24">
        <v>80148</v>
      </c>
      <c r="C1153" s="24"/>
      <c r="D1153" s="174" t="s">
        <v>111</v>
      </c>
      <c r="E1153" s="90">
        <f>SUM(E1154:E1169)</f>
        <v>549934</v>
      </c>
      <c r="F1153" s="225"/>
      <c r="G1153" s="90">
        <f>SUM(G1154:G1169)</f>
        <v>545834</v>
      </c>
      <c r="H1153" s="233"/>
      <c r="I1153" s="242">
        <f>G1153/E1153*100</f>
        <v>99.25445598926417</v>
      </c>
    </row>
    <row r="1154" spans="1:9" ht="21.75" customHeight="1">
      <c r="A1154" s="66"/>
      <c r="B1154" s="17"/>
      <c r="C1154" s="19">
        <v>3020</v>
      </c>
      <c r="D1154" s="201" t="s">
        <v>284</v>
      </c>
      <c r="E1154" s="88">
        <v>3224</v>
      </c>
      <c r="F1154" s="126"/>
      <c r="G1154" s="88">
        <v>4000</v>
      </c>
      <c r="H1154" s="233"/>
      <c r="I1154" s="289"/>
    </row>
    <row r="1155" spans="1:9" ht="16.5" customHeight="1">
      <c r="A1155" s="66"/>
      <c r="B1155" s="17"/>
      <c r="C1155" s="8">
        <v>4010</v>
      </c>
      <c r="D1155" s="169" t="s">
        <v>492</v>
      </c>
      <c r="E1155" s="41">
        <v>170434</v>
      </c>
      <c r="F1155" s="126"/>
      <c r="G1155" s="41">
        <v>170822</v>
      </c>
      <c r="H1155" s="233"/>
      <c r="I1155" s="242"/>
    </row>
    <row r="1156" spans="1:9" ht="16.5" customHeight="1">
      <c r="A1156" s="66"/>
      <c r="B1156" s="17"/>
      <c r="C1156" s="8">
        <v>4040</v>
      </c>
      <c r="D1156" s="169" t="s">
        <v>493</v>
      </c>
      <c r="E1156" s="41">
        <v>12310</v>
      </c>
      <c r="F1156" s="126"/>
      <c r="G1156" s="41">
        <v>13597</v>
      </c>
      <c r="H1156" s="233"/>
      <c r="I1156" s="242"/>
    </row>
    <row r="1157" spans="1:9" ht="16.5" customHeight="1">
      <c r="A1157" s="66"/>
      <c r="B1157" s="17"/>
      <c r="C1157" s="8">
        <v>4110</v>
      </c>
      <c r="D1157" s="169" t="s">
        <v>519</v>
      </c>
      <c r="E1157" s="41">
        <v>31393</v>
      </c>
      <c r="F1157" s="126"/>
      <c r="G1157" s="41">
        <v>31237</v>
      </c>
      <c r="H1157" s="233"/>
      <c r="I1157" s="242"/>
    </row>
    <row r="1158" spans="1:9" ht="16.5" customHeight="1">
      <c r="A1158" s="66"/>
      <c r="B1158" s="17"/>
      <c r="C1158" s="8">
        <v>4120</v>
      </c>
      <c r="D1158" s="169" t="s">
        <v>520</v>
      </c>
      <c r="E1158" s="41">
        <v>3912</v>
      </c>
      <c r="F1158" s="126"/>
      <c r="G1158" s="41">
        <v>3900</v>
      </c>
      <c r="H1158" s="233"/>
      <c r="I1158" s="242"/>
    </row>
    <row r="1159" spans="1:9" ht="16.5" customHeight="1">
      <c r="A1159" s="66"/>
      <c r="B1159" s="17"/>
      <c r="C1159" s="8">
        <v>4210</v>
      </c>
      <c r="D1159" s="169" t="s">
        <v>449</v>
      </c>
      <c r="E1159" s="41">
        <v>13500</v>
      </c>
      <c r="F1159" s="126"/>
      <c r="G1159" s="41">
        <v>10500</v>
      </c>
      <c r="H1159" s="233"/>
      <c r="I1159" s="242"/>
    </row>
    <row r="1160" spans="1:9" ht="16.5" customHeight="1">
      <c r="A1160" s="66"/>
      <c r="B1160" s="17"/>
      <c r="C1160" s="2">
        <v>4220</v>
      </c>
      <c r="D1160" s="169" t="s">
        <v>322</v>
      </c>
      <c r="E1160" s="41">
        <v>206000</v>
      </c>
      <c r="F1160" s="126"/>
      <c r="G1160" s="41">
        <v>215495</v>
      </c>
      <c r="H1160" s="233"/>
      <c r="I1160" s="242"/>
    </row>
    <row r="1161" spans="1:9" ht="16.5" customHeight="1">
      <c r="A1161" s="66"/>
      <c r="B1161" s="17"/>
      <c r="C1161" s="8">
        <v>4260</v>
      </c>
      <c r="D1161" s="169" t="s">
        <v>533</v>
      </c>
      <c r="E1161" s="41">
        <v>68000</v>
      </c>
      <c r="F1161" s="126"/>
      <c r="G1161" s="41">
        <v>62900</v>
      </c>
      <c r="H1161" s="233"/>
      <c r="I1161" s="242"/>
    </row>
    <row r="1162" spans="1:9" ht="16.5" customHeight="1">
      <c r="A1162" s="66"/>
      <c r="B1162" s="17"/>
      <c r="C1162" s="8">
        <v>4270</v>
      </c>
      <c r="D1162" s="169" t="s">
        <v>450</v>
      </c>
      <c r="E1162" s="41">
        <v>6000</v>
      </c>
      <c r="F1162" s="126"/>
      <c r="G1162" s="41">
        <v>4000</v>
      </c>
      <c r="H1162" s="233"/>
      <c r="I1162" s="242"/>
    </row>
    <row r="1163" spans="1:9" ht="16.5" customHeight="1">
      <c r="A1163" s="66"/>
      <c r="B1163" s="17"/>
      <c r="C1163" s="8">
        <v>4280</v>
      </c>
      <c r="D1163" s="169" t="s">
        <v>286</v>
      </c>
      <c r="E1163" s="41">
        <v>500</v>
      </c>
      <c r="F1163" s="126"/>
      <c r="G1163" s="41">
        <v>500</v>
      </c>
      <c r="H1163" s="233"/>
      <c r="I1163" s="242"/>
    </row>
    <row r="1164" spans="1:9" ht="16.5" customHeight="1">
      <c r="A1164" s="66"/>
      <c r="B1164" s="17"/>
      <c r="C1164" s="8">
        <v>4300</v>
      </c>
      <c r="D1164" s="169" t="s">
        <v>446</v>
      </c>
      <c r="E1164" s="41">
        <v>17000</v>
      </c>
      <c r="F1164" s="126"/>
      <c r="G1164" s="41">
        <v>17000</v>
      </c>
      <c r="H1164" s="233"/>
      <c r="I1164" s="242"/>
    </row>
    <row r="1165" spans="1:9" ht="16.5" customHeight="1">
      <c r="A1165" s="66"/>
      <c r="B1165" s="17"/>
      <c r="C1165" s="8">
        <v>4410</v>
      </c>
      <c r="D1165" s="169" t="s">
        <v>523</v>
      </c>
      <c r="E1165" s="41">
        <v>0</v>
      </c>
      <c r="F1165" s="126"/>
      <c r="G1165" s="41">
        <v>200</v>
      </c>
      <c r="H1165" s="233"/>
      <c r="I1165" s="242"/>
    </row>
    <row r="1166" spans="1:9" ht="24" customHeight="1">
      <c r="A1166" s="66"/>
      <c r="B1166" s="17"/>
      <c r="C1166" s="8">
        <v>4440</v>
      </c>
      <c r="D1166" s="169" t="s">
        <v>521</v>
      </c>
      <c r="E1166" s="41">
        <v>7035</v>
      </c>
      <c r="F1166" s="126"/>
      <c r="G1166" s="41">
        <v>7035</v>
      </c>
      <c r="H1166" s="233"/>
      <c r="I1166" s="242"/>
    </row>
    <row r="1167" spans="1:9" ht="24" customHeight="1">
      <c r="A1167" s="66"/>
      <c r="B1167" s="17"/>
      <c r="C1167" s="8">
        <v>4520</v>
      </c>
      <c r="D1167" s="169" t="s">
        <v>417</v>
      </c>
      <c r="E1167" s="41">
        <v>4128</v>
      </c>
      <c r="F1167" s="126"/>
      <c r="G1167" s="41">
        <v>4128</v>
      </c>
      <c r="H1167" s="233"/>
      <c r="I1167" s="242"/>
    </row>
    <row r="1168" spans="1:9" ht="24" customHeight="1">
      <c r="A1168" s="66"/>
      <c r="B1168" s="17"/>
      <c r="C1168" s="8">
        <v>4700</v>
      </c>
      <c r="D1168" s="169" t="s">
        <v>418</v>
      </c>
      <c r="E1168" s="41">
        <v>520</v>
      </c>
      <c r="F1168" s="126"/>
      <c r="G1168" s="41">
        <v>520</v>
      </c>
      <c r="H1168" s="233"/>
      <c r="I1168" s="242"/>
    </row>
    <row r="1169" spans="1:9" ht="24" customHeight="1">
      <c r="A1169" s="66"/>
      <c r="B1169" s="17"/>
      <c r="C1169" s="8">
        <v>6060</v>
      </c>
      <c r="D1169" s="169" t="s">
        <v>538</v>
      </c>
      <c r="E1169" s="41">
        <v>5978</v>
      </c>
      <c r="F1169" s="126"/>
      <c r="G1169" s="41">
        <v>0</v>
      </c>
      <c r="H1169" s="233"/>
      <c r="I1169" s="241"/>
    </row>
    <row r="1170" spans="1:9" s="53" customFormat="1" ht="74.25" customHeight="1">
      <c r="A1170" s="82"/>
      <c r="B1170" s="24">
        <v>80149</v>
      </c>
      <c r="C1170" s="24"/>
      <c r="D1170" s="174" t="s">
        <v>176</v>
      </c>
      <c r="E1170" s="38">
        <f>E1171</f>
        <v>0</v>
      </c>
      <c r="F1170" s="225"/>
      <c r="G1170" s="38">
        <f>G1171</f>
        <v>300000</v>
      </c>
      <c r="H1170" s="284"/>
      <c r="I1170" s="207"/>
    </row>
    <row r="1171" spans="1:9" ht="30" customHeight="1">
      <c r="A1171" s="66"/>
      <c r="B1171" s="29"/>
      <c r="C1171" s="2">
        <v>2540</v>
      </c>
      <c r="D1171" s="169" t="s">
        <v>288</v>
      </c>
      <c r="E1171" s="41">
        <v>0</v>
      </c>
      <c r="F1171" s="126"/>
      <c r="G1171" s="41">
        <v>300000</v>
      </c>
      <c r="H1171" s="233"/>
      <c r="I1171" s="241"/>
    </row>
    <row r="1172" spans="1:9" ht="82.5" customHeight="1">
      <c r="A1172" s="66"/>
      <c r="B1172" s="24">
        <v>80150</v>
      </c>
      <c r="C1172" s="8"/>
      <c r="D1172" s="174" t="s">
        <v>415</v>
      </c>
      <c r="E1172" s="90">
        <f>SUM(E1173:E1180)</f>
        <v>1923653.79</v>
      </c>
      <c r="F1172" s="120"/>
      <c r="G1172" s="90">
        <f>SUM(G1173:G1180)</f>
        <v>2123817</v>
      </c>
      <c r="H1172" s="233"/>
      <c r="I1172" s="242">
        <f>G1172/E1172*100</f>
        <v>110.40536561415242</v>
      </c>
    </row>
    <row r="1173" spans="1:9" ht="50.25" customHeight="1">
      <c r="A1173" s="66"/>
      <c r="B1173" s="30"/>
      <c r="C1173" s="8">
        <v>2590</v>
      </c>
      <c r="D1173" s="169" t="s">
        <v>110</v>
      </c>
      <c r="E1173" s="52">
        <v>13961.36</v>
      </c>
      <c r="F1173" s="55"/>
      <c r="G1173" s="52">
        <v>0</v>
      </c>
      <c r="H1173" s="233"/>
      <c r="I1173" s="289"/>
    </row>
    <row r="1174" spans="1:9" ht="17.25" customHeight="1">
      <c r="A1174" s="66"/>
      <c r="B1174" s="17"/>
      <c r="C1174" s="8">
        <v>4010</v>
      </c>
      <c r="D1174" s="169" t="s">
        <v>492</v>
      </c>
      <c r="E1174" s="41">
        <v>1617518.43</v>
      </c>
      <c r="F1174" s="126"/>
      <c r="G1174" s="41">
        <v>1567663</v>
      </c>
      <c r="H1174" s="233"/>
      <c r="I1174" s="242"/>
    </row>
    <row r="1175" spans="1:9" ht="17.25" customHeight="1">
      <c r="A1175" s="66"/>
      <c r="B1175" s="17"/>
      <c r="C1175" s="8">
        <v>4040</v>
      </c>
      <c r="D1175" s="169" t="s">
        <v>493</v>
      </c>
      <c r="E1175" s="41">
        <v>0</v>
      </c>
      <c r="F1175" s="126"/>
      <c r="G1175" s="41">
        <v>138690</v>
      </c>
      <c r="H1175" s="233"/>
      <c r="I1175" s="242"/>
    </row>
    <row r="1176" spans="1:9" ht="17.25" customHeight="1">
      <c r="A1176" s="66"/>
      <c r="B1176" s="17"/>
      <c r="C1176" s="8">
        <v>4110</v>
      </c>
      <c r="D1176" s="169" t="s">
        <v>519</v>
      </c>
      <c r="E1176" s="41">
        <v>248830</v>
      </c>
      <c r="F1176" s="126"/>
      <c r="G1176" s="41">
        <v>300365</v>
      </c>
      <c r="H1176" s="233"/>
      <c r="I1176" s="242"/>
    </row>
    <row r="1177" spans="1:9" ht="17.25" customHeight="1">
      <c r="A1177" s="66"/>
      <c r="B1177" s="17"/>
      <c r="C1177" s="8">
        <v>4120</v>
      </c>
      <c r="D1177" s="169" t="s">
        <v>520</v>
      </c>
      <c r="E1177" s="41">
        <v>32544</v>
      </c>
      <c r="F1177" s="126"/>
      <c r="G1177" s="41">
        <v>40648</v>
      </c>
      <c r="H1177" s="233"/>
      <c r="I1177" s="242"/>
    </row>
    <row r="1178" spans="1:9" ht="17.25" customHeight="1">
      <c r="A1178" s="66"/>
      <c r="B1178" s="17"/>
      <c r="C1178" s="8">
        <v>4170</v>
      </c>
      <c r="D1178" s="169" t="s">
        <v>526</v>
      </c>
      <c r="E1178" s="41">
        <v>8500</v>
      </c>
      <c r="F1178" s="126"/>
      <c r="G1178" s="41">
        <v>8500</v>
      </c>
      <c r="H1178" s="233"/>
      <c r="I1178" s="242"/>
    </row>
    <row r="1179" spans="1:9" ht="17.25" customHeight="1">
      <c r="A1179" s="66"/>
      <c r="B1179" s="17"/>
      <c r="C1179" s="8">
        <v>4410</v>
      </c>
      <c r="D1179" s="169" t="s">
        <v>523</v>
      </c>
      <c r="E1179" s="41">
        <v>2300</v>
      </c>
      <c r="F1179" s="126"/>
      <c r="G1179" s="41">
        <v>2300</v>
      </c>
      <c r="H1179" s="233"/>
      <c r="I1179" s="242"/>
    </row>
    <row r="1180" spans="1:9" ht="24" customHeight="1">
      <c r="A1180" s="66"/>
      <c r="B1180" s="17"/>
      <c r="C1180" s="8">
        <v>4440</v>
      </c>
      <c r="D1180" s="169" t="s">
        <v>521</v>
      </c>
      <c r="E1180" s="41">
        <v>0</v>
      </c>
      <c r="F1180" s="233"/>
      <c r="G1180" s="52">
        <v>65651</v>
      </c>
      <c r="H1180" s="233"/>
      <c r="I1180" s="241"/>
    </row>
    <row r="1181" spans="1:9" ht="20.25" customHeight="1">
      <c r="A1181" s="66"/>
      <c r="B1181" s="24">
        <v>80195</v>
      </c>
      <c r="C1181" s="24"/>
      <c r="D1181" s="174" t="s">
        <v>343</v>
      </c>
      <c r="E1181" s="28">
        <f>SUM(E1182:E1218)</f>
        <v>1052254.46</v>
      </c>
      <c r="F1181" s="28"/>
      <c r="G1181" s="28">
        <f>SUM(G1182:G1218)</f>
        <v>1378996.1199999999</v>
      </c>
      <c r="H1181" s="233"/>
      <c r="I1181" s="242">
        <f>G1181/E1181*100</f>
        <v>131.05158233304138</v>
      </c>
    </row>
    <row r="1182" spans="1:9" ht="45.75" customHeight="1">
      <c r="A1182" s="66"/>
      <c r="B1182" s="30"/>
      <c r="C1182" s="8">
        <v>2320</v>
      </c>
      <c r="D1182" s="169" t="s">
        <v>462</v>
      </c>
      <c r="E1182" s="88">
        <v>1200</v>
      </c>
      <c r="F1182" s="233"/>
      <c r="G1182" s="52"/>
      <c r="H1182" s="233"/>
      <c r="I1182" s="289"/>
    </row>
    <row r="1183" spans="1:9" ht="22.5" customHeight="1">
      <c r="A1183" s="66"/>
      <c r="B1183" s="30"/>
      <c r="C1183" s="8">
        <v>3040</v>
      </c>
      <c r="D1183" s="169" t="s">
        <v>108</v>
      </c>
      <c r="E1183" s="88">
        <v>11000</v>
      </c>
      <c r="F1183" s="233"/>
      <c r="G1183" s="52"/>
      <c r="H1183" s="233"/>
      <c r="I1183" s="242"/>
    </row>
    <row r="1184" spans="1:9" ht="16.5" customHeight="1">
      <c r="A1184" s="66"/>
      <c r="B1184" s="30"/>
      <c r="C1184" s="8">
        <v>4011</v>
      </c>
      <c r="D1184" s="169" t="s">
        <v>492</v>
      </c>
      <c r="E1184" s="88">
        <v>4000</v>
      </c>
      <c r="F1184" s="126"/>
      <c r="G1184" s="88">
        <v>15600</v>
      </c>
      <c r="H1184" s="233"/>
      <c r="I1184" s="242"/>
    </row>
    <row r="1185" spans="1:9" ht="16.5" customHeight="1">
      <c r="A1185" s="66"/>
      <c r="B1185" s="30"/>
      <c r="C1185" s="8">
        <v>4110</v>
      </c>
      <c r="D1185" s="169" t="s">
        <v>519</v>
      </c>
      <c r="E1185" s="88">
        <v>1890.9</v>
      </c>
      <c r="F1185" s="126"/>
      <c r="G1185" s="88"/>
      <c r="H1185" s="233"/>
      <c r="I1185" s="242"/>
    </row>
    <row r="1186" spans="1:9" ht="16.5" customHeight="1">
      <c r="A1186" s="66"/>
      <c r="B1186" s="30"/>
      <c r="C1186" s="8">
        <v>4111</v>
      </c>
      <c r="D1186" s="169" t="s">
        <v>519</v>
      </c>
      <c r="E1186" s="88">
        <v>700</v>
      </c>
      <c r="F1186" s="126"/>
      <c r="G1186" s="88">
        <v>2700</v>
      </c>
      <c r="H1186" s="233"/>
      <c r="I1186" s="242"/>
    </row>
    <row r="1187" spans="1:9" ht="16.5" customHeight="1">
      <c r="A1187" s="66"/>
      <c r="B1187" s="30"/>
      <c r="C1187" s="8">
        <v>4117</v>
      </c>
      <c r="D1187" s="169" t="s">
        <v>519</v>
      </c>
      <c r="E1187" s="88">
        <v>806.18</v>
      </c>
      <c r="F1187" s="126"/>
      <c r="G1187" s="88">
        <v>806.18</v>
      </c>
      <c r="H1187" s="233"/>
      <c r="I1187" s="242"/>
    </row>
    <row r="1188" spans="1:9" ht="16.5" customHeight="1">
      <c r="A1188" s="66"/>
      <c r="B1188" s="30"/>
      <c r="C1188" s="8">
        <v>4119</v>
      </c>
      <c r="D1188" s="169" t="s">
        <v>519</v>
      </c>
      <c r="E1188" s="88">
        <v>48.82</v>
      </c>
      <c r="F1188" s="126"/>
      <c r="G1188" s="88">
        <v>48.82</v>
      </c>
      <c r="H1188" s="233"/>
      <c r="I1188" s="242"/>
    </row>
    <row r="1189" spans="1:9" ht="16.5" customHeight="1">
      <c r="A1189" s="66"/>
      <c r="B1189" s="30"/>
      <c r="C1189" s="19">
        <v>4120</v>
      </c>
      <c r="D1189" s="201" t="s">
        <v>520</v>
      </c>
      <c r="E1189" s="88">
        <v>269.5</v>
      </c>
      <c r="F1189" s="126"/>
      <c r="G1189" s="88"/>
      <c r="H1189" s="233"/>
      <c r="I1189" s="242"/>
    </row>
    <row r="1190" spans="1:9" ht="16.5" customHeight="1">
      <c r="A1190" s="66"/>
      <c r="B1190" s="30"/>
      <c r="C1190" s="19">
        <v>4121</v>
      </c>
      <c r="D1190" s="201" t="s">
        <v>520</v>
      </c>
      <c r="E1190" s="88">
        <v>100</v>
      </c>
      <c r="F1190" s="126"/>
      <c r="G1190" s="88">
        <v>400</v>
      </c>
      <c r="H1190" s="233"/>
      <c r="I1190" s="242"/>
    </row>
    <row r="1191" spans="1:9" ht="16.5" customHeight="1">
      <c r="A1191" s="66"/>
      <c r="B1191" s="30"/>
      <c r="C1191" s="19">
        <v>4127</v>
      </c>
      <c r="D1191" s="201" t="s">
        <v>520</v>
      </c>
      <c r="E1191" s="88">
        <v>115.98</v>
      </c>
      <c r="F1191" s="126"/>
      <c r="G1191" s="88">
        <v>115.98</v>
      </c>
      <c r="H1191" s="233"/>
      <c r="I1191" s="242"/>
    </row>
    <row r="1192" spans="1:9" ht="16.5" customHeight="1">
      <c r="A1192" s="66"/>
      <c r="B1192" s="17"/>
      <c r="C1192" s="8">
        <v>4129</v>
      </c>
      <c r="D1192" s="201" t="s">
        <v>520</v>
      </c>
      <c r="E1192" s="41">
        <v>7.02</v>
      </c>
      <c r="F1192" s="126"/>
      <c r="G1192" s="41">
        <v>7.02</v>
      </c>
      <c r="H1192" s="233"/>
      <c r="I1192" s="242"/>
    </row>
    <row r="1193" spans="1:9" ht="16.5" customHeight="1">
      <c r="A1193" s="66"/>
      <c r="B1193" s="17"/>
      <c r="C1193" s="8">
        <v>4170</v>
      </c>
      <c r="D1193" s="169" t="s">
        <v>526</v>
      </c>
      <c r="E1193" s="41">
        <v>350</v>
      </c>
      <c r="F1193" s="126"/>
      <c r="G1193" s="41"/>
      <c r="H1193" s="233"/>
      <c r="I1193" s="242"/>
    </row>
    <row r="1194" spans="1:9" ht="16.5" customHeight="1">
      <c r="A1194" s="66"/>
      <c r="B1194" s="17"/>
      <c r="C1194" s="8">
        <v>4171</v>
      </c>
      <c r="D1194" s="169" t="s">
        <v>526</v>
      </c>
      <c r="E1194" s="41"/>
      <c r="F1194" s="126"/>
      <c r="G1194" s="41">
        <v>1100</v>
      </c>
      <c r="H1194" s="233"/>
      <c r="I1194" s="242"/>
    </row>
    <row r="1195" spans="1:9" ht="16.5" customHeight="1">
      <c r="A1195" s="66"/>
      <c r="B1195" s="17"/>
      <c r="C1195" s="8">
        <v>4177</v>
      </c>
      <c r="D1195" s="169" t="s">
        <v>526</v>
      </c>
      <c r="E1195" s="41">
        <v>4714.5</v>
      </c>
      <c r="F1195" s="126"/>
      <c r="G1195" s="41">
        <v>4714.5</v>
      </c>
      <c r="H1195" s="233"/>
      <c r="I1195" s="242"/>
    </row>
    <row r="1196" spans="1:9" ht="16.5" customHeight="1">
      <c r="A1196" s="66"/>
      <c r="B1196" s="17"/>
      <c r="C1196" s="8">
        <v>4179</v>
      </c>
      <c r="D1196" s="169" t="s">
        <v>526</v>
      </c>
      <c r="E1196" s="41">
        <v>285.5</v>
      </c>
      <c r="F1196" s="126"/>
      <c r="G1196" s="41">
        <v>285.5</v>
      </c>
      <c r="H1196" s="233"/>
      <c r="I1196" s="242"/>
    </row>
    <row r="1197" spans="1:9" ht="16.5" customHeight="1">
      <c r="A1197" s="66"/>
      <c r="B1197" s="17"/>
      <c r="C1197" s="8">
        <v>4210</v>
      </c>
      <c r="D1197" s="169" t="s">
        <v>449</v>
      </c>
      <c r="E1197" s="41">
        <v>2800</v>
      </c>
      <c r="F1197" s="126"/>
      <c r="G1197" s="41">
        <v>2800</v>
      </c>
      <c r="H1197" s="233"/>
      <c r="I1197" s="242"/>
    </row>
    <row r="1198" spans="1:9" ht="16.5" customHeight="1">
      <c r="A1198" s="66"/>
      <c r="B1198" s="17"/>
      <c r="C1198" s="8">
        <v>4211</v>
      </c>
      <c r="D1198" s="169" t="s">
        <v>449</v>
      </c>
      <c r="E1198" s="41">
        <v>900</v>
      </c>
      <c r="F1198" s="126"/>
      <c r="G1198" s="41"/>
      <c r="H1198" s="233"/>
      <c r="I1198" s="242"/>
    </row>
    <row r="1199" spans="1:9" ht="16.5" customHeight="1">
      <c r="A1199" s="66"/>
      <c r="B1199" s="17"/>
      <c r="C1199" s="8">
        <v>4217</v>
      </c>
      <c r="D1199" s="169" t="s">
        <v>449</v>
      </c>
      <c r="E1199" s="41">
        <v>7260.33</v>
      </c>
      <c r="F1199" s="126"/>
      <c r="G1199" s="41">
        <v>1885.8</v>
      </c>
      <c r="H1199" s="233"/>
      <c r="I1199" s="242"/>
    </row>
    <row r="1200" spans="1:9" ht="16.5" customHeight="1">
      <c r="A1200" s="66"/>
      <c r="B1200" s="17"/>
      <c r="C1200" s="8">
        <v>4219</v>
      </c>
      <c r="D1200" s="169" t="s">
        <v>449</v>
      </c>
      <c r="E1200" s="41">
        <v>439.67</v>
      </c>
      <c r="F1200" s="126"/>
      <c r="G1200" s="41">
        <v>114.2</v>
      </c>
      <c r="H1200" s="233"/>
      <c r="I1200" s="242"/>
    </row>
    <row r="1201" spans="1:9" ht="17.25" customHeight="1">
      <c r="A1201" s="66"/>
      <c r="B1201" s="17"/>
      <c r="C1201" s="8">
        <v>4240</v>
      </c>
      <c r="D1201" s="169" t="s">
        <v>405</v>
      </c>
      <c r="E1201" s="41">
        <v>21250</v>
      </c>
      <c r="F1201" s="126"/>
      <c r="G1201" s="41"/>
      <c r="H1201" s="233"/>
      <c r="I1201" s="242"/>
    </row>
    <row r="1202" spans="1:9" ht="17.25" customHeight="1">
      <c r="A1202" s="66"/>
      <c r="B1202" s="17"/>
      <c r="C1202" s="8">
        <v>4241</v>
      </c>
      <c r="D1202" s="169" t="s">
        <v>405</v>
      </c>
      <c r="E1202" s="41">
        <v>0</v>
      </c>
      <c r="F1202" s="126"/>
      <c r="G1202" s="41">
        <v>7342.27</v>
      </c>
      <c r="H1202" s="233"/>
      <c r="I1202" s="242"/>
    </row>
    <row r="1203" spans="1:9" ht="17.25" customHeight="1">
      <c r="A1203" s="66"/>
      <c r="B1203" s="17"/>
      <c r="C1203" s="8">
        <v>4247</v>
      </c>
      <c r="D1203" s="169" t="s">
        <v>405</v>
      </c>
      <c r="E1203" s="86">
        <v>282.87</v>
      </c>
      <c r="F1203" s="126"/>
      <c r="G1203" s="86"/>
      <c r="H1203" s="233"/>
      <c r="I1203" s="242"/>
    </row>
    <row r="1204" spans="1:9" ht="19.5" customHeight="1">
      <c r="A1204" s="66"/>
      <c r="B1204" s="17"/>
      <c r="C1204" s="8">
        <v>4249</v>
      </c>
      <c r="D1204" s="169" t="s">
        <v>405</v>
      </c>
      <c r="E1204" s="52">
        <v>17.13</v>
      </c>
      <c r="F1204" s="126"/>
      <c r="G1204" s="86"/>
      <c r="H1204" s="233"/>
      <c r="I1204" s="242"/>
    </row>
    <row r="1205" spans="1:9" ht="16.5" customHeight="1">
      <c r="A1205" s="66"/>
      <c r="B1205" s="17"/>
      <c r="C1205" s="8">
        <v>4300</v>
      </c>
      <c r="D1205" s="163" t="s">
        <v>446</v>
      </c>
      <c r="E1205" s="72">
        <v>800</v>
      </c>
      <c r="F1205" s="126"/>
      <c r="G1205" s="86">
        <v>800</v>
      </c>
      <c r="H1205" s="233"/>
      <c r="I1205" s="242"/>
    </row>
    <row r="1206" spans="1:9" ht="16.5" customHeight="1">
      <c r="A1206" s="66"/>
      <c r="B1206" s="17"/>
      <c r="C1206" s="8">
        <v>4301</v>
      </c>
      <c r="D1206" s="163" t="s">
        <v>446</v>
      </c>
      <c r="E1206" s="52">
        <v>135037.17</v>
      </c>
      <c r="F1206" s="126"/>
      <c r="G1206" s="86">
        <v>481969.61</v>
      </c>
      <c r="H1206" s="233"/>
      <c r="I1206" s="242"/>
    </row>
    <row r="1207" spans="1:9" ht="16.5" customHeight="1">
      <c r="A1207" s="66"/>
      <c r="B1207" s="17"/>
      <c r="C1207" s="8">
        <v>4307</v>
      </c>
      <c r="D1207" s="163" t="s">
        <v>446</v>
      </c>
      <c r="E1207" s="72">
        <v>20743.8</v>
      </c>
      <c r="F1207" s="126"/>
      <c r="G1207" s="86">
        <v>26337.51</v>
      </c>
      <c r="H1207" s="233"/>
      <c r="I1207" s="242"/>
    </row>
    <row r="1208" spans="1:9" ht="16.5" customHeight="1">
      <c r="A1208" s="66"/>
      <c r="B1208" s="17"/>
      <c r="C1208" s="8">
        <v>4309</v>
      </c>
      <c r="D1208" s="163" t="s">
        <v>446</v>
      </c>
      <c r="E1208" s="72">
        <v>1256.2</v>
      </c>
      <c r="F1208" s="126"/>
      <c r="G1208" s="86">
        <v>1594.94</v>
      </c>
      <c r="H1208" s="233"/>
      <c r="I1208" s="242"/>
    </row>
    <row r="1209" spans="1:9" ht="16.5" customHeight="1">
      <c r="A1209" s="66"/>
      <c r="B1209" s="17"/>
      <c r="C1209" s="8">
        <v>4421</v>
      </c>
      <c r="D1209" s="163" t="s">
        <v>524</v>
      </c>
      <c r="E1209" s="72">
        <v>37700.28</v>
      </c>
      <c r="F1209" s="126"/>
      <c r="G1209" s="86">
        <v>30000</v>
      </c>
      <c r="H1209" s="233"/>
      <c r="I1209" s="242"/>
    </row>
    <row r="1210" spans="1:9" ht="16.5" customHeight="1">
      <c r="A1210" s="66"/>
      <c r="B1210" s="17"/>
      <c r="C1210" s="8">
        <v>4427</v>
      </c>
      <c r="D1210" s="163" t="s">
        <v>524</v>
      </c>
      <c r="E1210" s="72">
        <v>35830.2</v>
      </c>
      <c r="F1210" s="126"/>
      <c r="G1210" s="86">
        <v>22133.44</v>
      </c>
      <c r="H1210" s="233"/>
      <c r="I1210" s="242"/>
    </row>
    <row r="1211" spans="1:9" ht="16.5" customHeight="1">
      <c r="A1211" s="66"/>
      <c r="B1211" s="17"/>
      <c r="C1211" s="8">
        <v>4429</v>
      </c>
      <c r="D1211" s="163" t="s">
        <v>524</v>
      </c>
      <c r="E1211" s="72">
        <v>2169.8</v>
      </c>
      <c r="F1211" s="126"/>
      <c r="G1211" s="86">
        <v>1340.35</v>
      </c>
      <c r="H1211" s="233"/>
      <c r="I1211" s="242"/>
    </row>
    <row r="1212" spans="1:9" ht="16.5" customHeight="1">
      <c r="A1212" s="66"/>
      <c r="B1212" s="17"/>
      <c r="C1212" s="8">
        <v>4431</v>
      </c>
      <c r="D1212" s="163" t="s">
        <v>429</v>
      </c>
      <c r="E1212" s="72">
        <v>2100</v>
      </c>
      <c r="F1212" s="126"/>
      <c r="G1212" s="86">
        <v>6300</v>
      </c>
      <c r="H1212" s="233"/>
      <c r="I1212" s="242"/>
    </row>
    <row r="1213" spans="1:9" ht="16.5" customHeight="1">
      <c r="A1213" s="66"/>
      <c r="B1213" s="17"/>
      <c r="C1213" s="8">
        <v>4437</v>
      </c>
      <c r="D1213" s="163" t="s">
        <v>429</v>
      </c>
      <c r="E1213" s="72">
        <v>660.03</v>
      </c>
      <c r="F1213" s="126"/>
      <c r="G1213" s="86">
        <v>565.74</v>
      </c>
      <c r="H1213" s="233"/>
      <c r="I1213" s="242"/>
    </row>
    <row r="1214" spans="1:9" ht="16.5" customHeight="1">
      <c r="A1214" s="66"/>
      <c r="B1214" s="17"/>
      <c r="C1214" s="8">
        <v>4439</v>
      </c>
      <c r="D1214" s="163" t="s">
        <v>429</v>
      </c>
      <c r="E1214" s="72">
        <v>39.97</v>
      </c>
      <c r="F1214" s="126"/>
      <c r="G1214" s="86">
        <v>34.26</v>
      </c>
      <c r="H1214" s="233"/>
      <c r="I1214" s="242"/>
    </row>
    <row r="1215" spans="1:9" ht="24" customHeight="1">
      <c r="A1215" s="66"/>
      <c r="B1215" s="17"/>
      <c r="C1215" s="8">
        <v>4440</v>
      </c>
      <c r="D1215" s="163" t="s">
        <v>521</v>
      </c>
      <c r="E1215" s="52">
        <v>702247</v>
      </c>
      <c r="F1215" s="126"/>
      <c r="G1215" s="86">
        <v>750000</v>
      </c>
      <c r="H1215" s="233"/>
      <c r="I1215" s="242"/>
    </row>
    <row r="1216" spans="1:9" ht="24" customHeight="1">
      <c r="A1216" s="66"/>
      <c r="B1216" s="17"/>
      <c r="C1216" s="8">
        <v>4701</v>
      </c>
      <c r="D1216" s="163" t="s">
        <v>418</v>
      </c>
      <c r="E1216" s="72">
        <v>25231.61</v>
      </c>
      <c r="F1216" s="126"/>
      <c r="G1216" s="86"/>
      <c r="H1216" s="233"/>
      <c r="I1216" s="242"/>
    </row>
    <row r="1217" spans="1:9" ht="24" customHeight="1">
      <c r="A1217" s="66"/>
      <c r="B1217" s="17"/>
      <c r="C1217" s="8">
        <v>4707</v>
      </c>
      <c r="D1217" s="163" t="s">
        <v>418</v>
      </c>
      <c r="E1217" s="72">
        <v>28287</v>
      </c>
      <c r="F1217" s="126"/>
      <c r="G1217" s="86">
        <v>18858</v>
      </c>
      <c r="H1217" s="233"/>
      <c r="I1217" s="242"/>
    </row>
    <row r="1218" spans="1:9" ht="24" customHeight="1">
      <c r="A1218" s="66"/>
      <c r="B1218" s="17"/>
      <c r="C1218" s="8">
        <v>4709</v>
      </c>
      <c r="D1218" s="163" t="s">
        <v>418</v>
      </c>
      <c r="E1218" s="52">
        <v>1713</v>
      </c>
      <c r="F1218" s="126"/>
      <c r="G1218" s="86">
        <v>1142</v>
      </c>
      <c r="H1218" s="233"/>
      <c r="I1218" s="241"/>
    </row>
    <row r="1219" spans="1:9" ht="24.75" customHeight="1">
      <c r="A1219" s="146" t="s">
        <v>109</v>
      </c>
      <c r="B1219" s="10"/>
      <c r="C1219" s="130"/>
      <c r="D1219" s="170" t="s">
        <v>306</v>
      </c>
      <c r="E1219" s="33">
        <f>E1220</f>
        <v>562</v>
      </c>
      <c r="F1219" s="213"/>
      <c r="G1219" s="33">
        <f>G1220</f>
        <v>562</v>
      </c>
      <c r="H1219" s="213"/>
      <c r="I1219" s="215">
        <f>G1219/E1219*100</f>
        <v>100</v>
      </c>
    </row>
    <row r="1220" spans="1:9" ht="38.25" customHeight="1">
      <c r="A1220" s="142"/>
      <c r="B1220" s="24">
        <v>85156</v>
      </c>
      <c r="C1220" s="147"/>
      <c r="D1220" s="197" t="s">
        <v>488</v>
      </c>
      <c r="E1220" s="90">
        <f>E1221</f>
        <v>562</v>
      </c>
      <c r="F1220" s="225"/>
      <c r="G1220" s="90">
        <f>G1221</f>
        <v>562</v>
      </c>
      <c r="H1220" s="225"/>
      <c r="I1220" s="241">
        <f>G1220/E1220*100</f>
        <v>100</v>
      </c>
    </row>
    <row r="1221" spans="1:9" ht="21" customHeight="1">
      <c r="A1221" s="66"/>
      <c r="B1221" s="17"/>
      <c r="C1221" s="8">
        <v>4130</v>
      </c>
      <c r="D1221" s="163" t="s">
        <v>184</v>
      </c>
      <c r="E1221" s="52">
        <v>562</v>
      </c>
      <c r="F1221" s="87"/>
      <c r="G1221" s="52">
        <v>562</v>
      </c>
      <c r="H1221" s="87"/>
      <c r="I1221" s="241"/>
    </row>
    <row r="1222" spans="1:9" ht="24" customHeight="1">
      <c r="A1222" s="58">
        <v>852</v>
      </c>
      <c r="B1222" s="57"/>
      <c r="C1222" s="10"/>
      <c r="D1222" s="173" t="s">
        <v>128</v>
      </c>
      <c r="E1222" s="33">
        <f>E1223+E1247+E1271+E1283+E1285+E1293+E1295</f>
        <v>9787422</v>
      </c>
      <c r="F1222" s="33">
        <f>F1223+F1247+F1271+F1283+F1285+F1293+F1295</f>
        <v>7000</v>
      </c>
      <c r="G1222" s="33">
        <f>G1223+G1247+G1271+G1283+G1285+G1293+G1295</f>
        <v>9810945</v>
      </c>
      <c r="H1222" s="33">
        <f>H1223+H1247+H1271+H1283+H1285+H1293+H1295</f>
        <v>0</v>
      </c>
      <c r="I1222" s="215">
        <f>G1222/E1222*100</f>
        <v>100.24033908009689</v>
      </c>
    </row>
    <row r="1223" spans="1:9" ht="20.25" customHeight="1">
      <c r="A1223" s="58"/>
      <c r="B1223" s="23">
        <v>85201</v>
      </c>
      <c r="C1223" s="24"/>
      <c r="D1223" s="174" t="s">
        <v>129</v>
      </c>
      <c r="E1223" s="39">
        <f>SUM(E1224:E1246)</f>
        <v>2163448</v>
      </c>
      <c r="F1223" s="72"/>
      <c r="G1223" s="39">
        <f>SUM(G1224:G1246)</f>
        <v>2289210</v>
      </c>
      <c r="H1223" s="128"/>
      <c r="I1223" s="242">
        <f>G1223/E1223*100</f>
        <v>105.81303548779542</v>
      </c>
    </row>
    <row r="1224" spans="1:9" ht="64.5" customHeight="1">
      <c r="A1224" s="66"/>
      <c r="B1224" s="17"/>
      <c r="C1224" s="2">
        <v>2360</v>
      </c>
      <c r="D1224" s="169" t="s">
        <v>227</v>
      </c>
      <c r="E1224" s="88">
        <v>200000</v>
      </c>
      <c r="F1224" s="126"/>
      <c r="G1224" s="88">
        <v>200000</v>
      </c>
      <c r="H1224" s="233"/>
      <c r="I1224" s="289"/>
    </row>
    <row r="1225" spans="1:9" ht="21.75" customHeight="1">
      <c r="A1225" s="66"/>
      <c r="B1225" s="17"/>
      <c r="C1225" s="8">
        <v>3020</v>
      </c>
      <c r="D1225" s="169" t="s">
        <v>284</v>
      </c>
      <c r="E1225" s="41">
        <v>820</v>
      </c>
      <c r="F1225" s="126"/>
      <c r="G1225" s="41">
        <v>500</v>
      </c>
      <c r="H1225" s="233"/>
      <c r="I1225" s="242"/>
    </row>
    <row r="1226" spans="1:9" ht="17.25" customHeight="1">
      <c r="A1226" s="66"/>
      <c r="B1226" s="30"/>
      <c r="C1226" s="2">
        <v>3110</v>
      </c>
      <c r="D1226" s="169" t="s">
        <v>502</v>
      </c>
      <c r="E1226" s="41">
        <v>7500</v>
      </c>
      <c r="F1226" s="126"/>
      <c r="G1226" s="41">
        <f>87510+7500</f>
        <v>95010</v>
      </c>
      <c r="H1226" s="233"/>
      <c r="I1226" s="242"/>
    </row>
    <row r="1227" spans="1:9" ht="17.25" customHeight="1">
      <c r="A1227" s="66"/>
      <c r="B1227" s="17"/>
      <c r="C1227" s="2">
        <v>4010</v>
      </c>
      <c r="D1227" s="169" t="s">
        <v>492</v>
      </c>
      <c r="E1227" s="41">
        <v>757000</v>
      </c>
      <c r="F1227" s="126"/>
      <c r="G1227" s="41">
        <v>813000</v>
      </c>
      <c r="H1227" s="233"/>
      <c r="I1227" s="242"/>
    </row>
    <row r="1228" spans="1:9" ht="17.25" customHeight="1">
      <c r="A1228" s="66"/>
      <c r="B1228" s="17"/>
      <c r="C1228" s="2">
        <v>4040</v>
      </c>
      <c r="D1228" s="169" t="s">
        <v>493</v>
      </c>
      <c r="E1228" s="41">
        <v>59248</v>
      </c>
      <c r="F1228" s="126"/>
      <c r="G1228" s="41">
        <v>67000</v>
      </c>
      <c r="H1228" s="233"/>
      <c r="I1228" s="242"/>
    </row>
    <row r="1229" spans="1:9" ht="17.25" customHeight="1">
      <c r="A1229" s="66"/>
      <c r="B1229" s="17"/>
      <c r="C1229" s="2">
        <v>4110</v>
      </c>
      <c r="D1229" s="169" t="s">
        <v>519</v>
      </c>
      <c r="E1229" s="41">
        <v>150000</v>
      </c>
      <c r="F1229" s="126"/>
      <c r="G1229" s="41">
        <v>150000</v>
      </c>
      <c r="H1229" s="233"/>
      <c r="I1229" s="242"/>
    </row>
    <row r="1230" spans="1:9" ht="17.25" customHeight="1">
      <c r="A1230" s="66"/>
      <c r="B1230" s="17"/>
      <c r="C1230" s="2">
        <v>4120</v>
      </c>
      <c r="D1230" s="169" t="s">
        <v>520</v>
      </c>
      <c r="E1230" s="41">
        <v>20000</v>
      </c>
      <c r="F1230" s="126"/>
      <c r="G1230" s="41">
        <v>20000</v>
      </c>
      <c r="H1230" s="233"/>
      <c r="I1230" s="242"/>
    </row>
    <row r="1231" spans="1:9" ht="17.25" customHeight="1">
      <c r="A1231" s="66"/>
      <c r="B1231" s="17"/>
      <c r="C1231" s="2">
        <v>4170</v>
      </c>
      <c r="D1231" s="169" t="s">
        <v>526</v>
      </c>
      <c r="E1231" s="41">
        <v>0</v>
      </c>
      <c r="F1231" s="126"/>
      <c r="G1231" s="41"/>
      <c r="H1231" s="233"/>
      <c r="I1231" s="242"/>
    </row>
    <row r="1232" spans="1:9" ht="17.25" customHeight="1">
      <c r="A1232" s="66"/>
      <c r="B1232" s="17"/>
      <c r="C1232" s="2">
        <v>4210</v>
      </c>
      <c r="D1232" s="169" t="s">
        <v>449</v>
      </c>
      <c r="E1232" s="41">
        <v>25519</v>
      </c>
      <c r="F1232" s="126"/>
      <c r="G1232" s="41">
        <v>26000</v>
      </c>
      <c r="H1232" s="233"/>
      <c r="I1232" s="242"/>
    </row>
    <row r="1233" spans="1:9" ht="17.25" customHeight="1">
      <c r="A1233" s="66"/>
      <c r="B1233" s="17"/>
      <c r="C1233" s="2">
        <v>4220</v>
      </c>
      <c r="D1233" s="169" t="s">
        <v>322</v>
      </c>
      <c r="E1233" s="41">
        <v>5000</v>
      </c>
      <c r="F1233" s="126"/>
      <c r="G1233" s="41">
        <v>5000</v>
      </c>
      <c r="H1233" s="233"/>
      <c r="I1233" s="242"/>
    </row>
    <row r="1234" spans="1:9" ht="17.25" customHeight="1">
      <c r="A1234" s="66"/>
      <c r="B1234" s="17"/>
      <c r="C1234" s="2">
        <v>4240</v>
      </c>
      <c r="D1234" s="169" t="s">
        <v>405</v>
      </c>
      <c r="E1234" s="41">
        <v>7000</v>
      </c>
      <c r="F1234" s="126"/>
      <c r="G1234" s="41">
        <v>7000</v>
      </c>
      <c r="H1234" s="233"/>
      <c r="I1234" s="242"/>
    </row>
    <row r="1235" spans="1:9" ht="15.75" customHeight="1">
      <c r="A1235" s="66"/>
      <c r="B1235" s="17"/>
      <c r="C1235" s="2">
        <v>4260</v>
      </c>
      <c r="D1235" s="169" t="s">
        <v>533</v>
      </c>
      <c r="E1235" s="41">
        <v>38000</v>
      </c>
      <c r="F1235" s="126"/>
      <c r="G1235" s="41">
        <v>38000</v>
      </c>
      <c r="H1235" s="233"/>
      <c r="I1235" s="242"/>
    </row>
    <row r="1236" spans="1:9" ht="15.75" customHeight="1">
      <c r="A1236" s="66"/>
      <c r="B1236" s="17"/>
      <c r="C1236" s="2">
        <v>4270</v>
      </c>
      <c r="D1236" s="169" t="s">
        <v>450</v>
      </c>
      <c r="E1236" s="41">
        <v>20000</v>
      </c>
      <c r="F1236" s="126"/>
      <c r="G1236" s="41">
        <v>23300</v>
      </c>
      <c r="H1236" s="233"/>
      <c r="I1236" s="242"/>
    </row>
    <row r="1237" spans="1:9" ht="15.75" customHeight="1">
      <c r="A1237" s="66"/>
      <c r="B1237" s="17"/>
      <c r="C1237" s="2">
        <v>4280</v>
      </c>
      <c r="D1237" s="169" t="s">
        <v>286</v>
      </c>
      <c r="E1237" s="41">
        <v>800</v>
      </c>
      <c r="F1237" s="126"/>
      <c r="G1237" s="41">
        <v>800</v>
      </c>
      <c r="H1237" s="233"/>
      <c r="I1237" s="242"/>
    </row>
    <row r="1238" spans="1:9" ht="15.75" customHeight="1">
      <c r="A1238" s="66"/>
      <c r="B1238" s="17"/>
      <c r="C1238" s="2">
        <v>4300</v>
      </c>
      <c r="D1238" s="169" t="s">
        <v>446</v>
      </c>
      <c r="E1238" s="41">
        <v>96850</v>
      </c>
      <c r="F1238" s="126"/>
      <c r="G1238" s="41">
        <v>96850</v>
      </c>
      <c r="H1238" s="233"/>
      <c r="I1238" s="242"/>
    </row>
    <row r="1239" spans="1:9" ht="35.25" customHeight="1">
      <c r="A1239" s="66"/>
      <c r="B1239" s="17"/>
      <c r="C1239" s="8">
        <v>4330</v>
      </c>
      <c r="D1239" s="169" t="s">
        <v>261</v>
      </c>
      <c r="E1239" s="41">
        <v>729000</v>
      </c>
      <c r="F1239" s="126"/>
      <c r="G1239" s="41">
        <v>700000</v>
      </c>
      <c r="H1239" s="233"/>
      <c r="I1239" s="242"/>
    </row>
    <row r="1240" spans="1:9" ht="26.25" customHeight="1">
      <c r="A1240" s="66"/>
      <c r="B1240" s="17"/>
      <c r="C1240" s="19">
        <v>4360</v>
      </c>
      <c r="D1240" s="169" t="s">
        <v>183</v>
      </c>
      <c r="E1240" s="41">
        <v>5800</v>
      </c>
      <c r="F1240" s="126"/>
      <c r="G1240" s="41">
        <v>5000</v>
      </c>
      <c r="H1240" s="233"/>
      <c r="I1240" s="242"/>
    </row>
    <row r="1241" spans="1:9" ht="15.75" customHeight="1">
      <c r="A1241" s="66"/>
      <c r="B1241" s="17"/>
      <c r="C1241" s="2">
        <v>4410</v>
      </c>
      <c r="D1241" s="169" t="s">
        <v>523</v>
      </c>
      <c r="E1241" s="41">
        <v>9600</v>
      </c>
      <c r="F1241" s="126"/>
      <c r="G1241" s="41">
        <v>9600</v>
      </c>
      <c r="H1241" s="233"/>
      <c r="I1241" s="242"/>
    </row>
    <row r="1242" spans="1:9" ht="15.75" customHeight="1">
      <c r="A1242" s="66"/>
      <c r="B1242" s="17"/>
      <c r="C1242" s="2">
        <v>4430</v>
      </c>
      <c r="D1242" s="169" t="s">
        <v>429</v>
      </c>
      <c r="E1242" s="41">
        <v>2000</v>
      </c>
      <c r="F1242" s="126"/>
      <c r="G1242" s="41">
        <v>2000</v>
      </c>
      <c r="H1242" s="233"/>
      <c r="I1242" s="242"/>
    </row>
    <row r="1243" spans="1:9" ht="24" customHeight="1">
      <c r="A1243" s="66"/>
      <c r="B1243" s="17"/>
      <c r="C1243" s="2">
        <v>4440</v>
      </c>
      <c r="D1243" s="169" t="s">
        <v>521</v>
      </c>
      <c r="E1243" s="41">
        <v>21150</v>
      </c>
      <c r="F1243" s="126"/>
      <c r="G1243" s="41">
        <v>21150</v>
      </c>
      <c r="H1243" s="233"/>
      <c r="I1243" s="242"/>
    </row>
    <row r="1244" spans="1:9" ht="16.5" customHeight="1">
      <c r="A1244" s="66"/>
      <c r="B1244" s="17"/>
      <c r="C1244" s="8">
        <v>4480</v>
      </c>
      <c r="D1244" s="169" t="s">
        <v>367</v>
      </c>
      <c r="E1244" s="41">
        <v>3161</v>
      </c>
      <c r="F1244" s="126"/>
      <c r="G1244" s="41">
        <v>4000</v>
      </c>
      <c r="H1244" s="233"/>
      <c r="I1244" s="242"/>
    </row>
    <row r="1245" spans="1:9" ht="24" customHeight="1">
      <c r="A1245" s="66"/>
      <c r="B1245" s="17"/>
      <c r="C1245" s="8">
        <v>4520</v>
      </c>
      <c r="D1245" s="169" t="s">
        <v>417</v>
      </c>
      <c r="E1245" s="41">
        <v>1000</v>
      </c>
      <c r="F1245" s="126"/>
      <c r="G1245" s="41">
        <v>1000</v>
      </c>
      <c r="H1245" s="233"/>
      <c r="I1245" s="242"/>
    </row>
    <row r="1246" spans="1:9" ht="24" customHeight="1">
      <c r="A1246" s="66"/>
      <c r="B1246" s="17"/>
      <c r="C1246" s="8">
        <v>4700</v>
      </c>
      <c r="D1246" s="169" t="s">
        <v>418</v>
      </c>
      <c r="E1246" s="41">
        <v>4000</v>
      </c>
      <c r="F1246" s="126"/>
      <c r="G1246" s="41">
        <v>4000</v>
      </c>
      <c r="H1246" s="233"/>
      <c r="I1246" s="241"/>
    </row>
    <row r="1247" spans="1:9" ht="20.25" customHeight="1">
      <c r="A1247" s="66"/>
      <c r="B1247" s="27">
        <v>85202</v>
      </c>
      <c r="C1247" s="24"/>
      <c r="D1247" s="174" t="s">
        <v>219</v>
      </c>
      <c r="E1247" s="38">
        <f>SUM(E1248:E1270)</f>
        <v>5376317.000000001</v>
      </c>
      <c r="F1247" s="126"/>
      <c r="G1247" s="38">
        <f>SUM(G1248:G1270)</f>
        <v>5400000</v>
      </c>
      <c r="H1247" s="233"/>
      <c r="I1247" s="242">
        <f>G1247/E1247*100</f>
        <v>100.4405060192693</v>
      </c>
    </row>
    <row r="1248" spans="1:9" ht="23.25" customHeight="1">
      <c r="A1248" s="66"/>
      <c r="B1248" s="27"/>
      <c r="C1248" s="8">
        <v>3020</v>
      </c>
      <c r="D1248" s="169" t="s">
        <v>284</v>
      </c>
      <c r="E1248" s="88">
        <v>9771.37</v>
      </c>
      <c r="F1248" s="126"/>
      <c r="G1248" s="88">
        <v>2000</v>
      </c>
      <c r="H1248" s="233"/>
      <c r="I1248" s="289"/>
    </row>
    <row r="1249" spans="1:9" ht="16.5" customHeight="1">
      <c r="A1249" s="66"/>
      <c r="B1249" s="17"/>
      <c r="C1249" s="8">
        <v>4010</v>
      </c>
      <c r="D1249" s="169" t="s">
        <v>492</v>
      </c>
      <c r="E1249" s="41">
        <v>3295629</v>
      </c>
      <c r="F1249" s="126"/>
      <c r="G1249" s="41">
        <v>3243420</v>
      </c>
      <c r="H1249" s="233"/>
      <c r="I1249" s="242"/>
    </row>
    <row r="1250" spans="1:9" ht="16.5" customHeight="1">
      <c r="A1250" s="66"/>
      <c r="B1250" s="17"/>
      <c r="C1250" s="8">
        <v>4040</v>
      </c>
      <c r="D1250" s="169" t="s">
        <v>493</v>
      </c>
      <c r="E1250" s="41">
        <v>255337.43</v>
      </c>
      <c r="F1250" s="126"/>
      <c r="G1250" s="41">
        <v>280128</v>
      </c>
      <c r="H1250" s="233"/>
      <c r="I1250" s="242"/>
    </row>
    <row r="1251" spans="1:9" ht="16.5" customHeight="1">
      <c r="A1251" s="66"/>
      <c r="B1251" s="17"/>
      <c r="C1251" s="8">
        <v>4110</v>
      </c>
      <c r="D1251" s="169" t="s">
        <v>519</v>
      </c>
      <c r="E1251" s="41">
        <v>555254</v>
      </c>
      <c r="F1251" s="126"/>
      <c r="G1251" s="41">
        <v>592605</v>
      </c>
      <c r="H1251" s="233"/>
      <c r="I1251" s="242"/>
    </row>
    <row r="1252" spans="1:9" ht="16.5" customHeight="1">
      <c r="A1252" s="66"/>
      <c r="B1252" s="17"/>
      <c r="C1252" s="8">
        <v>4120</v>
      </c>
      <c r="D1252" s="169" t="s">
        <v>520</v>
      </c>
      <c r="E1252" s="41">
        <v>58500</v>
      </c>
      <c r="F1252" s="126"/>
      <c r="G1252" s="41">
        <v>59500</v>
      </c>
      <c r="H1252" s="233"/>
      <c r="I1252" s="242"/>
    </row>
    <row r="1253" spans="1:9" ht="16.5" customHeight="1">
      <c r="A1253" s="66"/>
      <c r="B1253" s="17"/>
      <c r="C1253" s="2">
        <v>4170</v>
      </c>
      <c r="D1253" s="169" t="s">
        <v>526</v>
      </c>
      <c r="E1253" s="41">
        <v>0</v>
      </c>
      <c r="F1253" s="126"/>
      <c r="G1253" s="41">
        <v>1090</v>
      </c>
      <c r="H1253" s="233"/>
      <c r="I1253" s="242"/>
    </row>
    <row r="1254" spans="1:9" ht="16.5" customHeight="1">
      <c r="A1254" s="66"/>
      <c r="B1254" s="17"/>
      <c r="C1254" s="8">
        <v>4210</v>
      </c>
      <c r="D1254" s="169" t="s">
        <v>449</v>
      </c>
      <c r="E1254" s="41">
        <f>135178+14177</f>
        <v>149355</v>
      </c>
      <c r="F1254" s="126"/>
      <c r="G1254" s="41">
        <v>130178</v>
      </c>
      <c r="H1254" s="233"/>
      <c r="I1254" s="242"/>
    </row>
    <row r="1255" spans="1:9" ht="16.5" customHeight="1">
      <c r="A1255" s="66"/>
      <c r="B1255" s="17"/>
      <c r="C1255" s="8">
        <v>4220</v>
      </c>
      <c r="D1255" s="169" t="s">
        <v>322</v>
      </c>
      <c r="E1255" s="41">
        <v>365982</v>
      </c>
      <c r="F1255" s="126"/>
      <c r="G1255" s="41">
        <v>422982</v>
      </c>
      <c r="H1255" s="233"/>
      <c r="I1255" s="242"/>
    </row>
    <row r="1256" spans="1:9" ht="24" customHeight="1">
      <c r="A1256" s="66"/>
      <c r="B1256" s="17"/>
      <c r="C1256" s="8">
        <v>4230</v>
      </c>
      <c r="D1256" s="169" t="s">
        <v>289</v>
      </c>
      <c r="E1256" s="41">
        <v>40776.5</v>
      </c>
      <c r="F1256" s="126"/>
      <c r="G1256" s="41">
        <v>40776.5</v>
      </c>
      <c r="H1256" s="233"/>
      <c r="I1256" s="242"/>
    </row>
    <row r="1257" spans="1:9" ht="16.5" customHeight="1">
      <c r="A1257" s="66"/>
      <c r="B1257" s="17"/>
      <c r="C1257" s="8">
        <v>4260</v>
      </c>
      <c r="D1257" s="169" t="s">
        <v>533</v>
      </c>
      <c r="E1257" s="41">
        <v>277421.6</v>
      </c>
      <c r="F1257" s="126"/>
      <c r="G1257" s="41">
        <v>267338</v>
      </c>
      <c r="H1257" s="233"/>
      <c r="I1257" s="242"/>
    </row>
    <row r="1258" spans="1:9" ht="16.5" customHeight="1">
      <c r="A1258" s="66"/>
      <c r="B1258" s="17"/>
      <c r="C1258" s="8">
        <v>4270</v>
      </c>
      <c r="D1258" s="169" t="s">
        <v>450</v>
      </c>
      <c r="E1258" s="41">
        <v>51302.73</v>
      </c>
      <c r="F1258" s="126"/>
      <c r="G1258" s="41">
        <v>38700</v>
      </c>
      <c r="H1258" s="233"/>
      <c r="I1258" s="242"/>
    </row>
    <row r="1259" spans="1:9" ht="16.5" customHeight="1">
      <c r="A1259" s="66"/>
      <c r="B1259" s="17"/>
      <c r="C1259" s="8">
        <v>4280</v>
      </c>
      <c r="D1259" s="169" t="s">
        <v>286</v>
      </c>
      <c r="E1259" s="41">
        <v>6698</v>
      </c>
      <c r="F1259" s="126"/>
      <c r="G1259" s="41">
        <v>6698</v>
      </c>
      <c r="H1259" s="233"/>
      <c r="I1259" s="242"/>
    </row>
    <row r="1260" spans="1:9" ht="16.5" customHeight="1">
      <c r="A1260" s="66"/>
      <c r="B1260" s="17"/>
      <c r="C1260" s="8">
        <v>4300</v>
      </c>
      <c r="D1260" s="169" t="s">
        <v>446</v>
      </c>
      <c r="E1260" s="41">
        <v>163338</v>
      </c>
      <c r="F1260" s="126"/>
      <c r="G1260" s="41">
        <v>183338</v>
      </c>
      <c r="H1260" s="233"/>
      <c r="I1260" s="242"/>
    </row>
    <row r="1261" spans="1:9" ht="24.75" customHeight="1">
      <c r="A1261" s="66"/>
      <c r="B1261" s="17"/>
      <c r="C1261" s="19">
        <v>4360</v>
      </c>
      <c r="D1261" s="169" t="s">
        <v>216</v>
      </c>
      <c r="E1261" s="41">
        <v>7510</v>
      </c>
      <c r="F1261" s="126"/>
      <c r="G1261" s="41">
        <v>8670</v>
      </c>
      <c r="H1261" s="233"/>
      <c r="I1261" s="242"/>
    </row>
    <row r="1262" spans="1:9" ht="24.75" customHeight="1">
      <c r="A1262" s="66"/>
      <c r="B1262" s="17"/>
      <c r="C1262" s="19">
        <v>4390</v>
      </c>
      <c r="D1262" s="169" t="s">
        <v>354</v>
      </c>
      <c r="E1262" s="41">
        <v>2000</v>
      </c>
      <c r="F1262" s="126"/>
      <c r="G1262" s="41">
        <v>2000</v>
      </c>
      <c r="H1262" s="233"/>
      <c r="I1262" s="242"/>
    </row>
    <row r="1263" spans="1:9" ht="15.75" customHeight="1">
      <c r="A1263" s="66"/>
      <c r="B1263" s="17"/>
      <c r="C1263" s="8">
        <v>4410</v>
      </c>
      <c r="D1263" s="169" t="s">
        <v>523</v>
      </c>
      <c r="E1263" s="41">
        <v>482.9</v>
      </c>
      <c r="F1263" s="126"/>
      <c r="G1263" s="41">
        <v>542</v>
      </c>
      <c r="H1263" s="233"/>
      <c r="I1263" s="242"/>
    </row>
    <row r="1264" spans="1:9" ht="15.75" customHeight="1">
      <c r="A1264" s="66"/>
      <c r="B1264" s="17"/>
      <c r="C1264" s="8">
        <v>4430</v>
      </c>
      <c r="D1264" s="169" t="s">
        <v>262</v>
      </c>
      <c r="E1264" s="41">
        <v>5983</v>
      </c>
      <c r="F1264" s="126"/>
      <c r="G1264" s="41">
        <v>7883</v>
      </c>
      <c r="H1264" s="233"/>
      <c r="I1264" s="242"/>
    </row>
    <row r="1265" spans="1:9" ht="24" customHeight="1">
      <c r="A1265" s="66"/>
      <c r="B1265" s="17"/>
      <c r="C1265" s="8">
        <v>4440</v>
      </c>
      <c r="D1265" s="169" t="s">
        <v>521</v>
      </c>
      <c r="E1265" s="41">
        <v>105000</v>
      </c>
      <c r="F1265" s="126"/>
      <c r="G1265" s="41">
        <v>105000</v>
      </c>
      <c r="H1265" s="233"/>
      <c r="I1265" s="242"/>
    </row>
    <row r="1266" spans="1:9" ht="15.75" customHeight="1">
      <c r="A1266" s="66"/>
      <c r="B1266" s="17"/>
      <c r="C1266" s="8">
        <v>4480</v>
      </c>
      <c r="D1266" s="169" t="s">
        <v>367</v>
      </c>
      <c r="E1266" s="41">
        <v>4917</v>
      </c>
      <c r="F1266" s="126"/>
      <c r="G1266" s="41">
        <v>5082</v>
      </c>
      <c r="H1266" s="233"/>
      <c r="I1266" s="242"/>
    </row>
    <row r="1267" spans="1:9" ht="24" customHeight="1">
      <c r="A1267" s="66"/>
      <c r="B1267" s="17"/>
      <c r="C1267" s="8">
        <v>4500</v>
      </c>
      <c r="D1267" s="169" t="s">
        <v>119</v>
      </c>
      <c r="E1267" s="41">
        <v>49</v>
      </c>
      <c r="F1267" s="126"/>
      <c r="G1267" s="41">
        <v>60</v>
      </c>
      <c r="H1267" s="233"/>
      <c r="I1267" s="242"/>
    </row>
    <row r="1268" spans="1:9" ht="24" customHeight="1">
      <c r="A1268" s="66"/>
      <c r="B1268" s="17"/>
      <c r="C1268" s="8">
        <v>4520</v>
      </c>
      <c r="D1268" s="169" t="s">
        <v>417</v>
      </c>
      <c r="E1268" s="41">
        <v>9.47</v>
      </c>
      <c r="F1268" s="126"/>
      <c r="G1268" s="41">
        <v>9.5</v>
      </c>
      <c r="H1268" s="233"/>
      <c r="I1268" s="242"/>
    </row>
    <row r="1269" spans="1:9" ht="24" customHeight="1">
      <c r="A1269" s="66"/>
      <c r="B1269" s="17"/>
      <c r="C1269" s="8">
        <v>4700</v>
      </c>
      <c r="D1269" s="169" t="s">
        <v>418</v>
      </c>
      <c r="E1269" s="41">
        <v>6000</v>
      </c>
      <c r="F1269" s="126"/>
      <c r="G1269" s="41">
        <v>2000</v>
      </c>
      <c r="H1269" s="233"/>
      <c r="I1269" s="242"/>
    </row>
    <row r="1270" spans="1:9" ht="24" customHeight="1">
      <c r="A1270" s="66"/>
      <c r="B1270" s="17"/>
      <c r="C1270" s="8">
        <v>6060</v>
      </c>
      <c r="D1270" s="169" t="s">
        <v>538</v>
      </c>
      <c r="E1270" s="41">
        <v>15000</v>
      </c>
      <c r="F1270" s="126"/>
      <c r="G1270" s="41">
        <v>0</v>
      </c>
      <c r="H1270" s="233"/>
      <c r="I1270" s="241"/>
    </row>
    <row r="1271" spans="1:9" ht="20.25" customHeight="1">
      <c r="A1271" s="66"/>
      <c r="B1271" s="24">
        <v>85204</v>
      </c>
      <c r="C1271" s="23"/>
      <c r="D1271" s="174" t="s">
        <v>123</v>
      </c>
      <c r="E1271" s="38">
        <f>SUM(E1272:E1282)</f>
        <v>2136270</v>
      </c>
      <c r="F1271" s="126"/>
      <c r="G1271" s="38">
        <f>SUM(G1272:G1282)</f>
        <v>2049510</v>
      </c>
      <c r="H1271" s="233"/>
      <c r="I1271" s="242">
        <f>G1271/E1271*100</f>
        <v>95.93871561179064</v>
      </c>
    </row>
    <row r="1272" spans="1:9" ht="47.25" customHeight="1">
      <c r="A1272" s="69"/>
      <c r="B1272" s="7"/>
      <c r="C1272" s="8">
        <v>2320</v>
      </c>
      <c r="D1272" s="201" t="s">
        <v>459</v>
      </c>
      <c r="E1272" s="88">
        <v>20040</v>
      </c>
      <c r="F1272" s="126"/>
      <c r="G1272" s="88">
        <v>60000</v>
      </c>
      <c r="H1272" s="233"/>
      <c r="I1272" s="289"/>
    </row>
    <row r="1273" spans="1:9" ht="16.5" customHeight="1">
      <c r="A1273" s="69"/>
      <c r="B1273" s="7"/>
      <c r="C1273" s="8">
        <v>3110</v>
      </c>
      <c r="D1273" s="201" t="s">
        <v>502</v>
      </c>
      <c r="E1273" s="88">
        <v>1400000</v>
      </c>
      <c r="F1273" s="126"/>
      <c r="G1273" s="88">
        <v>1287510</v>
      </c>
      <c r="H1273" s="233"/>
      <c r="I1273" s="242"/>
    </row>
    <row r="1274" spans="1:9" ht="16.5" customHeight="1">
      <c r="A1274" s="69"/>
      <c r="B1274" s="7"/>
      <c r="C1274" s="8">
        <v>4010</v>
      </c>
      <c r="D1274" s="201" t="s">
        <v>492</v>
      </c>
      <c r="E1274" s="88">
        <v>159560</v>
      </c>
      <c r="F1274" s="126"/>
      <c r="G1274" s="88">
        <v>131000</v>
      </c>
      <c r="H1274" s="233"/>
      <c r="I1274" s="242"/>
    </row>
    <row r="1275" spans="1:9" ht="16.5" customHeight="1">
      <c r="A1275" s="69"/>
      <c r="B1275" s="7"/>
      <c r="C1275" s="8">
        <v>4040</v>
      </c>
      <c r="D1275" s="169" t="s">
        <v>493</v>
      </c>
      <c r="E1275" s="88">
        <v>10510</v>
      </c>
      <c r="F1275" s="126"/>
      <c r="G1275" s="88">
        <v>11400</v>
      </c>
      <c r="H1275" s="233"/>
      <c r="I1275" s="242"/>
    </row>
    <row r="1276" spans="1:9" ht="16.5" customHeight="1">
      <c r="A1276" s="69"/>
      <c r="B1276" s="7"/>
      <c r="C1276" s="8">
        <v>4110</v>
      </c>
      <c r="D1276" s="169" t="s">
        <v>519</v>
      </c>
      <c r="E1276" s="41">
        <v>42415</v>
      </c>
      <c r="F1276" s="126"/>
      <c r="G1276" s="41">
        <v>43900</v>
      </c>
      <c r="H1276" s="233"/>
      <c r="I1276" s="242"/>
    </row>
    <row r="1277" spans="1:9" ht="16.5" customHeight="1">
      <c r="A1277" s="69"/>
      <c r="B1277" s="7"/>
      <c r="C1277" s="8">
        <v>4120</v>
      </c>
      <c r="D1277" s="169" t="s">
        <v>520</v>
      </c>
      <c r="E1277" s="41">
        <v>6405</v>
      </c>
      <c r="F1277" s="126"/>
      <c r="G1277" s="41">
        <v>6200</v>
      </c>
      <c r="H1277" s="233"/>
      <c r="I1277" s="242"/>
    </row>
    <row r="1278" spans="1:9" ht="16.5" customHeight="1">
      <c r="A1278" s="69"/>
      <c r="B1278" s="7"/>
      <c r="C1278" s="15">
        <v>4170</v>
      </c>
      <c r="D1278" s="171" t="s">
        <v>526</v>
      </c>
      <c r="E1278" s="86">
        <v>116000</v>
      </c>
      <c r="F1278" s="126"/>
      <c r="G1278" s="86">
        <v>120000</v>
      </c>
      <c r="H1278" s="233"/>
      <c r="I1278" s="242"/>
    </row>
    <row r="1279" spans="1:9" ht="16.5" customHeight="1">
      <c r="A1279" s="69"/>
      <c r="B1279" s="7"/>
      <c r="C1279" s="8">
        <v>4210</v>
      </c>
      <c r="D1279" s="169" t="s">
        <v>449</v>
      </c>
      <c r="E1279" s="86">
        <v>3000</v>
      </c>
      <c r="F1279" s="126"/>
      <c r="G1279" s="86">
        <v>3000</v>
      </c>
      <c r="H1279" s="233"/>
      <c r="I1279" s="242"/>
    </row>
    <row r="1280" spans="1:9" ht="16.5" customHeight="1">
      <c r="A1280" s="69"/>
      <c r="B1280" s="7"/>
      <c r="C1280" s="8">
        <v>4300</v>
      </c>
      <c r="D1280" s="169" t="s">
        <v>446</v>
      </c>
      <c r="E1280" s="86">
        <v>3000</v>
      </c>
      <c r="F1280" s="126"/>
      <c r="G1280" s="86">
        <v>3000</v>
      </c>
      <c r="H1280" s="233"/>
      <c r="I1280" s="242"/>
    </row>
    <row r="1281" spans="1:9" ht="33" customHeight="1">
      <c r="A1281" s="69"/>
      <c r="B1281" s="7"/>
      <c r="C1281" s="8">
        <v>4330</v>
      </c>
      <c r="D1281" s="169" t="s">
        <v>261</v>
      </c>
      <c r="E1281" s="86">
        <v>370960</v>
      </c>
      <c r="F1281" s="126"/>
      <c r="G1281" s="86">
        <v>380000</v>
      </c>
      <c r="H1281" s="233"/>
      <c r="I1281" s="242"/>
    </row>
    <row r="1282" spans="1:9" ht="24" customHeight="1">
      <c r="A1282" s="69"/>
      <c r="B1282" s="1"/>
      <c r="C1282" s="8">
        <v>4440</v>
      </c>
      <c r="D1282" s="169" t="s">
        <v>521</v>
      </c>
      <c r="E1282" s="52">
        <v>4380</v>
      </c>
      <c r="F1282" s="126"/>
      <c r="G1282" s="52">
        <v>3500</v>
      </c>
      <c r="H1282" s="233"/>
      <c r="I1282" s="241"/>
    </row>
    <row r="1283" spans="1:9" ht="26.25" customHeight="1">
      <c r="A1283" s="69"/>
      <c r="B1283" s="24">
        <v>85205</v>
      </c>
      <c r="C1283" s="24"/>
      <c r="D1283" s="174" t="s">
        <v>300</v>
      </c>
      <c r="E1283" s="52">
        <f>E1284</f>
        <v>7000</v>
      </c>
      <c r="F1283" s="52">
        <f>F1284</f>
        <v>7000</v>
      </c>
      <c r="G1283" s="52">
        <f>G1284</f>
        <v>0</v>
      </c>
      <c r="H1283" s="52">
        <f>H1284</f>
        <v>0</v>
      </c>
      <c r="I1283" s="241"/>
    </row>
    <row r="1284" spans="1:9" ht="60.75" customHeight="1">
      <c r="A1284" s="69"/>
      <c r="B1284" s="1"/>
      <c r="C1284" s="2">
        <v>2360</v>
      </c>
      <c r="D1284" s="169" t="s">
        <v>227</v>
      </c>
      <c r="E1284" s="52">
        <v>7000</v>
      </c>
      <c r="F1284" s="52">
        <v>7000</v>
      </c>
      <c r="G1284" s="52"/>
      <c r="H1284" s="52"/>
      <c r="I1284" s="241"/>
    </row>
    <row r="1285" spans="1:9" ht="20.25" customHeight="1">
      <c r="A1285" s="66"/>
      <c r="B1285" s="35">
        <v>85218</v>
      </c>
      <c r="C1285" s="24"/>
      <c r="D1285" s="174" t="s">
        <v>263</v>
      </c>
      <c r="E1285" s="120">
        <f>SUM(E1286:E1292)</f>
        <v>89187</v>
      </c>
      <c r="F1285" s="126"/>
      <c r="G1285" s="120">
        <f>SUM(G1286:G1292)</f>
        <v>68925</v>
      </c>
      <c r="H1285" s="233"/>
      <c r="I1285" s="242">
        <f>G1285/E1285*100</f>
        <v>77.28144236267617</v>
      </c>
    </row>
    <row r="1286" spans="1:9" ht="17.25" customHeight="1">
      <c r="A1286" s="66"/>
      <c r="B1286" s="17"/>
      <c r="C1286" s="1">
        <v>4010</v>
      </c>
      <c r="D1286" s="201" t="s">
        <v>492</v>
      </c>
      <c r="E1286" s="88">
        <v>50000</v>
      </c>
      <c r="F1286" s="126"/>
      <c r="G1286" s="88">
        <v>50000</v>
      </c>
      <c r="H1286" s="233"/>
      <c r="I1286" s="289"/>
    </row>
    <row r="1287" spans="1:9" ht="17.25" customHeight="1">
      <c r="A1287" s="66"/>
      <c r="B1287" s="17"/>
      <c r="C1287" s="2">
        <v>4040</v>
      </c>
      <c r="D1287" s="169" t="s">
        <v>493</v>
      </c>
      <c r="E1287" s="41">
        <v>5500</v>
      </c>
      <c r="F1287" s="126"/>
      <c r="G1287" s="41">
        <v>5500</v>
      </c>
      <c r="H1287" s="233"/>
      <c r="I1287" s="242"/>
    </row>
    <row r="1288" spans="1:9" ht="17.25" customHeight="1">
      <c r="A1288" s="66"/>
      <c r="B1288" s="17"/>
      <c r="C1288" s="2">
        <v>4110</v>
      </c>
      <c r="D1288" s="169" t="s">
        <v>519</v>
      </c>
      <c r="E1288" s="41">
        <v>10000</v>
      </c>
      <c r="F1288" s="126"/>
      <c r="G1288" s="41">
        <v>10000</v>
      </c>
      <c r="H1288" s="233"/>
      <c r="I1288" s="242"/>
    </row>
    <row r="1289" spans="1:9" ht="17.25" customHeight="1">
      <c r="A1289" s="66"/>
      <c r="B1289" s="17"/>
      <c r="C1289" s="2">
        <v>4120</v>
      </c>
      <c r="D1289" s="169" t="s">
        <v>520</v>
      </c>
      <c r="E1289" s="41">
        <v>1100</v>
      </c>
      <c r="F1289" s="126"/>
      <c r="G1289" s="41">
        <v>1100</v>
      </c>
      <c r="H1289" s="233"/>
      <c r="I1289" s="242"/>
    </row>
    <row r="1290" spans="1:9" ht="17.25" customHeight="1">
      <c r="A1290" s="66"/>
      <c r="B1290" s="17"/>
      <c r="C1290" s="8">
        <v>4210</v>
      </c>
      <c r="D1290" s="169" t="s">
        <v>449</v>
      </c>
      <c r="E1290" s="86">
        <v>10187</v>
      </c>
      <c r="F1290" s="126"/>
      <c r="G1290" s="86">
        <v>0</v>
      </c>
      <c r="H1290" s="233"/>
      <c r="I1290" s="242"/>
    </row>
    <row r="1291" spans="1:9" s="56" customFormat="1" ht="17.25" customHeight="1">
      <c r="A1291" s="66"/>
      <c r="B1291" s="17"/>
      <c r="C1291" s="8">
        <v>4300</v>
      </c>
      <c r="D1291" s="169" t="s">
        <v>446</v>
      </c>
      <c r="E1291" s="86">
        <v>10000</v>
      </c>
      <c r="F1291" s="126"/>
      <c r="G1291" s="86">
        <v>0</v>
      </c>
      <c r="H1291" s="233"/>
      <c r="I1291" s="242"/>
    </row>
    <row r="1292" spans="1:9" ht="24" customHeight="1">
      <c r="A1292" s="66"/>
      <c r="B1292" s="17"/>
      <c r="C1292" s="13">
        <v>4440</v>
      </c>
      <c r="D1292" s="204" t="s">
        <v>521</v>
      </c>
      <c r="E1292" s="86">
        <v>2400</v>
      </c>
      <c r="F1292" s="126"/>
      <c r="G1292" s="86">
        <v>2325</v>
      </c>
      <c r="H1292" s="233"/>
      <c r="I1292" s="241"/>
    </row>
    <row r="1293" spans="1:9" s="53" customFormat="1" ht="39.75" customHeight="1">
      <c r="A1293" s="82"/>
      <c r="B1293" s="24">
        <v>85220</v>
      </c>
      <c r="C1293" s="31"/>
      <c r="D1293" s="174" t="s">
        <v>259</v>
      </c>
      <c r="E1293" s="90">
        <f>E1294</f>
        <v>12000</v>
      </c>
      <c r="F1293" s="155"/>
      <c r="G1293" s="166"/>
      <c r="H1293" s="284"/>
      <c r="I1293" s="207"/>
    </row>
    <row r="1294" spans="1:9" ht="19.5" customHeight="1">
      <c r="A1294" s="66"/>
      <c r="B1294" s="17"/>
      <c r="C1294" s="2">
        <v>4010</v>
      </c>
      <c r="D1294" s="169" t="s">
        <v>492</v>
      </c>
      <c r="E1294" s="52">
        <v>12000</v>
      </c>
      <c r="F1294" s="55"/>
      <c r="G1294" s="52"/>
      <c r="H1294" s="233"/>
      <c r="I1294" s="241"/>
    </row>
    <row r="1295" spans="1:9" ht="20.25" customHeight="1">
      <c r="A1295" s="66"/>
      <c r="B1295" s="24">
        <v>85295</v>
      </c>
      <c r="C1295" s="24"/>
      <c r="D1295" s="174" t="s">
        <v>343</v>
      </c>
      <c r="E1295" s="90">
        <f>E1296</f>
        <v>3200</v>
      </c>
      <c r="F1295" s="38"/>
      <c r="G1295" s="90">
        <f>G1296</f>
        <v>3300</v>
      </c>
      <c r="H1295" s="233"/>
      <c r="I1295" s="241">
        <f>G1295/E1295*100</f>
        <v>103.125</v>
      </c>
    </row>
    <row r="1296" spans="1:9" ht="23.25" customHeight="1">
      <c r="A1296" s="66"/>
      <c r="B1296" s="30"/>
      <c r="C1296" s="8">
        <v>4440</v>
      </c>
      <c r="D1296" s="169" t="s">
        <v>521</v>
      </c>
      <c r="E1296" s="41">
        <v>3200</v>
      </c>
      <c r="F1296" s="126"/>
      <c r="G1296" s="41">
        <v>3300</v>
      </c>
      <c r="H1296" s="233"/>
      <c r="I1296" s="241"/>
    </row>
    <row r="1297" spans="1:9" ht="24" customHeight="1">
      <c r="A1297" s="57">
        <v>853</v>
      </c>
      <c r="B1297" s="57"/>
      <c r="C1297" s="11"/>
      <c r="D1297" s="173" t="s">
        <v>439</v>
      </c>
      <c r="E1297" s="33">
        <f>E1298+E1301+E1309+E1311</f>
        <v>2118210.78</v>
      </c>
      <c r="F1297" s="154">
        <f>F1298+F1301+F1309+F1311</f>
        <v>447079.99999999994</v>
      </c>
      <c r="G1297" s="154">
        <f>G1298+G1301+G1309+G1311</f>
        <v>1925071</v>
      </c>
      <c r="H1297" s="154">
        <f>H1298+H1301+H1309+H1311</f>
        <v>196916</v>
      </c>
      <c r="I1297" s="215">
        <f>G1297/E1297*100</f>
        <v>90.88193763228796</v>
      </c>
    </row>
    <row r="1298" spans="1:9" ht="30.75" customHeight="1">
      <c r="A1298" s="79"/>
      <c r="B1298" s="96">
        <v>85311</v>
      </c>
      <c r="C1298" s="36"/>
      <c r="D1298" s="200" t="s">
        <v>363</v>
      </c>
      <c r="E1298" s="38">
        <f>SUM(E1299:E1300)</f>
        <v>327748</v>
      </c>
      <c r="F1298" s="166"/>
      <c r="G1298" s="38">
        <f>SUM(G1299:G1300)</f>
        <v>310748</v>
      </c>
      <c r="H1298" s="290"/>
      <c r="I1298" s="242">
        <f>G1298/E1298*100</f>
        <v>94.81308810427524</v>
      </c>
    </row>
    <row r="1299" spans="1:9" ht="36" customHeight="1">
      <c r="A1299" s="79"/>
      <c r="B1299" s="75"/>
      <c r="C1299" s="19">
        <v>2580</v>
      </c>
      <c r="D1299" s="201" t="s">
        <v>364</v>
      </c>
      <c r="E1299" s="86">
        <v>310748</v>
      </c>
      <c r="F1299" s="126"/>
      <c r="G1299" s="86">
        <f>19365.51+291382.49</f>
        <v>310748</v>
      </c>
      <c r="H1299" s="233"/>
      <c r="I1299" s="289"/>
    </row>
    <row r="1300" spans="1:9" ht="24.75" customHeight="1">
      <c r="A1300" s="79"/>
      <c r="B1300" s="85"/>
      <c r="C1300" s="19">
        <v>6060</v>
      </c>
      <c r="D1300" s="169" t="s">
        <v>538</v>
      </c>
      <c r="E1300" s="52">
        <v>17000</v>
      </c>
      <c r="F1300" s="220"/>
      <c r="G1300" s="52">
        <v>0</v>
      </c>
      <c r="H1300" s="55"/>
      <c r="I1300" s="241"/>
    </row>
    <row r="1301" spans="1:9" ht="24" customHeight="1">
      <c r="A1301" s="97"/>
      <c r="B1301" s="76">
        <v>85321</v>
      </c>
      <c r="C1301" s="35"/>
      <c r="D1301" s="200" t="s">
        <v>130</v>
      </c>
      <c r="E1301" s="90">
        <f>SUM(E1302:E1308)</f>
        <v>744570</v>
      </c>
      <c r="F1301" s="224">
        <f>SUM(F1302:F1308)</f>
        <v>447079.99999999994</v>
      </c>
      <c r="G1301" s="90">
        <f>SUM(G1302:G1308)</f>
        <v>499323</v>
      </c>
      <c r="H1301" s="38">
        <f>SUM(H1302:H1308)</f>
        <v>196916</v>
      </c>
      <c r="I1301" s="242">
        <f>G1301/E1301*100</f>
        <v>67.06192836133607</v>
      </c>
    </row>
    <row r="1302" spans="1:9" ht="16.5" customHeight="1">
      <c r="A1302" s="79"/>
      <c r="B1302" s="75"/>
      <c r="C1302" s="2">
        <v>4010</v>
      </c>
      <c r="D1302" s="169" t="s">
        <v>492</v>
      </c>
      <c r="E1302" s="52">
        <v>470281.04</v>
      </c>
      <c r="F1302" s="52">
        <v>309520.42</v>
      </c>
      <c r="G1302" s="52">
        <f>11035+147966+H1302</f>
        <v>251275</v>
      </c>
      <c r="H1302" s="26">
        <f>5000+87274</f>
        <v>92274</v>
      </c>
      <c r="I1302" s="289"/>
    </row>
    <row r="1303" spans="1:9" ht="16.5" customHeight="1">
      <c r="A1303" s="79"/>
      <c r="B1303" s="80"/>
      <c r="C1303" s="2">
        <v>4040</v>
      </c>
      <c r="D1303" s="169" t="s">
        <v>493</v>
      </c>
      <c r="E1303" s="52">
        <v>28508.09</v>
      </c>
      <c r="F1303" s="52">
        <v>10365.54</v>
      </c>
      <c r="G1303" s="52">
        <f>22581+H1303</f>
        <v>35899</v>
      </c>
      <c r="H1303" s="26">
        <v>13318</v>
      </c>
      <c r="I1303" s="242"/>
    </row>
    <row r="1304" spans="1:9" ht="16.5" customHeight="1">
      <c r="A1304" s="79"/>
      <c r="B1304" s="80"/>
      <c r="C1304" s="2">
        <v>4110</v>
      </c>
      <c r="D1304" s="169" t="s">
        <v>519</v>
      </c>
      <c r="E1304" s="52">
        <v>84740</v>
      </c>
      <c r="F1304" s="52">
        <v>53489</v>
      </c>
      <c r="G1304" s="52">
        <f>31198+H1304</f>
        <v>50599</v>
      </c>
      <c r="H1304" s="26">
        <f>1000+18401</f>
        <v>19401</v>
      </c>
      <c r="I1304" s="242"/>
    </row>
    <row r="1305" spans="1:9" s="53" customFormat="1" ht="16.5" customHeight="1">
      <c r="A1305" s="79"/>
      <c r="B1305" s="80"/>
      <c r="C1305" s="2">
        <v>4120</v>
      </c>
      <c r="D1305" s="169" t="s">
        <v>520</v>
      </c>
      <c r="E1305" s="52">
        <v>10730</v>
      </c>
      <c r="F1305" s="52">
        <v>6274</v>
      </c>
      <c r="G1305" s="52">
        <f>3837+H1305</f>
        <v>6637</v>
      </c>
      <c r="H1305" s="26">
        <f>540+2260</f>
        <v>2800</v>
      </c>
      <c r="I1305" s="242"/>
    </row>
    <row r="1306" spans="1:9" s="53" customFormat="1" ht="16.5" customHeight="1">
      <c r="A1306" s="79"/>
      <c r="B1306" s="80"/>
      <c r="C1306" s="2">
        <v>4170</v>
      </c>
      <c r="D1306" s="169" t="s">
        <v>526</v>
      </c>
      <c r="E1306" s="52">
        <v>37398</v>
      </c>
      <c r="F1306" s="52">
        <v>13598</v>
      </c>
      <c r="G1306" s="52">
        <v>37398</v>
      </c>
      <c r="H1306" s="26">
        <v>13598</v>
      </c>
      <c r="I1306" s="242"/>
    </row>
    <row r="1307" spans="1:9" s="53" customFormat="1" ht="16.5" customHeight="1">
      <c r="A1307" s="79"/>
      <c r="B1307" s="80"/>
      <c r="C1307" s="2">
        <v>4300</v>
      </c>
      <c r="D1307" s="169" t="s">
        <v>446</v>
      </c>
      <c r="E1307" s="52">
        <v>100515</v>
      </c>
      <c r="F1307" s="52">
        <v>49275</v>
      </c>
      <c r="G1307" s="52">
        <v>100515</v>
      </c>
      <c r="H1307" s="26">
        <v>49275</v>
      </c>
      <c r="I1307" s="242"/>
    </row>
    <row r="1308" spans="1:9" ht="23.25" customHeight="1">
      <c r="A1308" s="79"/>
      <c r="B1308" s="80"/>
      <c r="C1308" s="13">
        <v>4440</v>
      </c>
      <c r="D1308" s="169" t="s">
        <v>521</v>
      </c>
      <c r="E1308" s="72">
        <v>12397.87</v>
      </c>
      <c r="F1308" s="52">
        <v>4558.04</v>
      </c>
      <c r="G1308" s="72">
        <f>10750+H1308</f>
        <v>17000</v>
      </c>
      <c r="H1308" s="26">
        <v>6250</v>
      </c>
      <c r="I1308" s="241"/>
    </row>
    <row r="1309" spans="1:9" ht="20.25" customHeight="1">
      <c r="A1309" s="79"/>
      <c r="B1309" s="304">
        <v>85333</v>
      </c>
      <c r="C1309" s="2"/>
      <c r="D1309" s="205" t="s">
        <v>124</v>
      </c>
      <c r="E1309" s="90">
        <f>E1310</f>
        <v>970000</v>
      </c>
      <c r="F1309" s="72"/>
      <c r="G1309" s="90">
        <f>G1310</f>
        <v>1115000</v>
      </c>
      <c r="H1309" s="72"/>
      <c r="I1309" s="241">
        <f>G1309/E1309*100</f>
        <v>114.94845360824742</v>
      </c>
    </row>
    <row r="1310" spans="1:9" ht="46.5" customHeight="1">
      <c r="A1310" s="79"/>
      <c r="B1310" s="305"/>
      <c r="C1310" s="2">
        <v>2320</v>
      </c>
      <c r="D1310" s="169" t="s">
        <v>462</v>
      </c>
      <c r="E1310" s="55">
        <v>970000</v>
      </c>
      <c r="F1310" s="126"/>
      <c r="G1310" s="55">
        <v>1115000</v>
      </c>
      <c r="H1310" s="233"/>
      <c r="I1310" s="241"/>
    </row>
    <row r="1311" spans="1:9" ht="20.25" customHeight="1">
      <c r="A1311" s="99"/>
      <c r="B1311" s="46">
        <v>85395</v>
      </c>
      <c r="C1311" s="24"/>
      <c r="D1311" s="174" t="s">
        <v>343</v>
      </c>
      <c r="E1311" s="28">
        <f>SUM(E1312:E1312)</f>
        <v>75892.78</v>
      </c>
      <c r="F1311" s="225"/>
      <c r="G1311" s="28">
        <f>SUM(G1312:G1312)</f>
        <v>0</v>
      </c>
      <c r="H1311" s="284"/>
      <c r="I1311" s="241"/>
    </row>
    <row r="1312" spans="1:9" ht="59.25" customHeight="1">
      <c r="A1312" s="99"/>
      <c r="B1312" s="97"/>
      <c r="C1312" s="2">
        <v>2360</v>
      </c>
      <c r="D1312" s="169" t="s">
        <v>227</v>
      </c>
      <c r="E1312" s="26">
        <v>75892.78</v>
      </c>
      <c r="F1312" s="225"/>
      <c r="G1312" s="26"/>
      <c r="H1312" s="284"/>
      <c r="I1312" s="241"/>
    </row>
    <row r="1313" spans="1:9" ht="24" customHeight="1">
      <c r="A1313" s="57">
        <v>854</v>
      </c>
      <c r="B1313" s="57"/>
      <c r="C1313" s="5" t="s">
        <v>307</v>
      </c>
      <c r="D1313" s="173" t="s">
        <v>131</v>
      </c>
      <c r="E1313" s="33">
        <f>E1314+E1339+E1364+E1386+E1408+E1410+E1412+E1431</f>
        <v>8810426</v>
      </c>
      <c r="F1313" s="52"/>
      <c r="G1313" s="33">
        <f>G1314+G1339+G1364+G1386+G1408+G1410+G1412+G1431</f>
        <v>8505739</v>
      </c>
      <c r="H1313" s="26"/>
      <c r="I1313" s="215">
        <f>G1313/E1313*100</f>
        <v>96.54174497351207</v>
      </c>
    </row>
    <row r="1314" spans="1:9" ht="20.25" customHeight="1">
      <c r="A1314" s="66"/>
      <c r="B1314" s="23">
        <v>85401</v>
      </c>
      <c r="C1314" s="24" t="s">
        <v>307</v>
      </c>
      <c r="D1314" s="174" t="s">
        <v>264</v>
      </c>
      <c r="E1314" s="38">
        <f>SUM(E1315:E1338)</f>
        <v>809019</v>
      </c>
      <c r="F1314" s="72"/>
      <c r="G1314" s="38">
        <f>SUM(G1315:G1338)</f>
        <v>1016007</v>
      </c>
      <c r="H1314" s="128"/>
      <c r="I1314" s="242">
        <f>G1314/E1314*100</f>
        <v>125.58506042503328</v>
      </c>
    </row>
    <row r="1315" spans="1:9" ht="24.75" customHeight="1">
      <c r="A1315" s="66"/>
      <c r="B1315" s="9"/>
      <c r="C1315" s="2">
        <v>3020</v>
      </c>
      <c r="D1315" s="169" t="s">
        <v>284</v>
      </c>
      <c r="E1315" s="88">
        <v>2420</v>
      </c>
      <c r="F1315" s="126"/>
      <c r="G1315" s="88">
        <v>2470</v>
      </c>
      <c r="H1315" s="233"/>
      <c r="I1315" s="289"/>
    </row>
    <row r="1316" spans="1:9" ht="16.5" customHeight="1">
      <c r="A1316" s="66"/>
      <c r="B1316" s="9"/>
      <c r="C1316" s="2">
        <v>4010</v>
      </c>
      <c r="D1316" s="169" t="s">
        <v>492</v>
      </c>
      <c r="E1316" s="41">
        <v>502692</v>
      </c>
      <c r="F1316" s="126"/>
      <c r="G1316" s="41">
        <v>665839</v>
      </c>
      <c r="H1316" s="233"/>
      <c r="I1316" s="242"/>
    </row>
    <row r="1317" spans="1:9" ht="16.5" customHeight="1">
      <c r="A1317" s="66"/>
      <c r="B1317" s="9"/>
      <c r="C1317" s="2">
        <v>4040</v>
      </c>
      <c r="D1317" s="169" t="s">
        <v>493</v>
      </c>
      <c r="E1317" s="41">
        <v>34551</v>
      </c>
      <c r="F1317" s="126"/>
      <c r="G1317" s="41">
        <v>44338</v>
      </c>
      <c r="H1317" s="233"/>
      <c r="I1317" s="242"/>
    </row>
    <row r="1318" spans="1:9" ht="16.5" customHeight="1">
      <c r="A1318" s="66"/>
      <c r="B1318" s="9"/>
      <c r="C1318" s="2">
        <v>4110</v>
      </c>
      <c r="D1318" s="169" t="s">
        <v>519</v>
      </c>
      <c r="E1318" s="41">
        <v>95125</v>
      </c>
      <c r="F1318" s="126"/>
      <c r="G1318" s="41">
        <v>120042</v>
      </c>
      <c r="H1318" s="233"/>
      <c r="I1318" s="242"/>
    </row>
    <row r="1319" spans="1:9" ht="16.5" customHeight="1">
      <c r="A1319" s="66"/>
      <c r="B1319" s="9"/>
      <c r="C1319" s="2">
        <v>4120</v>
      </c>
      <c r="D1319" s="169" t="s">
        <v>520</v>
      </c>
      <c r="E1319" s="41">
        <v>13112</v>
      </c>
      <c r="F1319" s="126"/>
      <c r="G1319" s="41">
        <v>16885</v>
      </c>
      <c r="H1319" s="233"/>
      <c r="I1319" s="242"/>
    </row>
    <row r="1320" spans="1:9" ht="24" customHeight="1">
      <c r="A1320" s="66"/>
      <c r="B1320" s="9"/>
      <c r="C1320" s="2">
        <v>4140</v>
      </c>
      <c r="D1320" s="169" t="s">
        <v>320</v>
      </c>
      <c r="E1320" s="41">
        <v>10</v>
      </c>
      <c r="F1320" s="126"/>
      <c r="G1320" s="41">
        <v>10</v>
      </c>
      <c r="H1320" s="233"/>
      <c r="I1320" s="242"/>
    </row>
    <row r="1321" spans="1:9" ht="16.5" customHeight="1">
      <c r="A1321" s="66"/>
      <c r="B1321" s="9"/>
      <c r="C1321" s="2">
        <v>4170</v>
      </c>
      <c r="D1321" s="169" t="s">
        <v>526</v>
      </c>
      <c r="E1321" s="41">
        <v>180</v>
      </c>
      <c r="F1321" s="126"/>
      <c r="G1321" s="41">
        <v>180</v>
      </c>
      <c r="H1321" s="233"/>
      <c r="I1321" s="242"/>
    </row>
    <row r="1322" spans="1:9" ht="16.5" customHeight="1">
      <c r="A1322" s="66"/>
      <c r="B1322" s="9"/>
      <c r="C1322" s="2">
        <v>4210</v>
      </c>
      <c r="D1322" s="169" t="s">
        <v>449</v>
      </c>
      <c r="E1322" s="41">
        <v>7920</v>
      </c>
      <c r="F1322" s="126"/>
      <c r="G1322" s="41">
        <v>6520</v>
      </c>
      <c r="H1322" s="233"/>
      <c r="I1322" s="242"/>
    </row>
    <row r="1323" spans="1:9" ht="16.5" customHeight="1">
      <c r="A1323" s="66"/>
      <c r="B1323" s="9"/>
      <c r="C1323" s="2">
        <v>4220</v>
      </c>
      <c r="D1323" s="169" t="s">
        <v>322</v>
      </c>
      <c r="E1323" s="41">
        <v>67240</v>
      </c>
      <c r="F1323" s="126"/>
      <c r="G1323" s="41">
        <v>72240</v>
      </c>
      <c r="H1323" s="233"/>
      <c r="I1323" s="242"/>
    </row>
    <row r="1324" spans="1:9" ht="17.25" customHeight="1">
      <c r="A1324" s="66"/>
      <c r="B1324" s="9"/>
      <c r="C1324" s="2">
        <v>4240</v>
      </c>
      <c r="D1324" s="169" t="s">
        <v>405</v>
      </c>
      <c r="E1324" s="41">
        <v>409</v>
      </c>
      <c r="F1324" s="126"/>
      <c r="G1324" s="41">
        <v>590</v>
      </c>
      <c r="H1324" s="233"/>
      <c r="I1324" s="242"/>
    </row>
    <row r="1325" spans="1:9" ht="16.5" customHeight="1">
      <c r="A1325" s="66"/>
      <c r="B1325" s="9"/>
      <c r="C1325" s="2">
        <v>4260</v>
      </c>
      <c r="D1325" s="169" t="s">
        <v>533</v>
      </c>
      <c r="E1325" s="41">
        <v>31633</v>
      </c>
      <c r="F1325" s="126"/>
      <c r="G1325" s="41">
        <v>31843</v>
      </c>
      <c r="H1325" s="233"/>
      <c r="I1325" s="242"/>
    </row>
    <row r="1326" spans="1:9" ht="16.5" customHeight="1">
      <c r="A1326" s="66"/>
      <c r="B1326" s="9"/>
      <c r="C1326" s="2">
        <v>4270</v>
      </c>
      <c r="D1326" s="169" t="s">
        <v>450</v>
      </c>
      <c r="E1326" s="41">
        <v>10141</v>
      </c>
      <c r="F1326" s="126"/>
      <c r="G1326" s="41">
        <v>7140</v>
      </c>
      <c r="H1326" s="233"/>
      <c r="I1326" s="242"/>
    </row>
    <row r="1327" spans="1:9" ht="16.5" customHeight="1">
      <c r="A1327" s="66"/>
      <c r="B1327" s="9"/>
      <c r="C1327" s="2">
        <v>4280</v>
      </c>
      <c r="D1327" s="169" t="s">
        <v>286</v>
      </c>
      <c r="E1327" s="41">
        <v>260</v>
      </c>
      <c r="F1327" s="126"/>
      <c r="G1327" s="41">
        <v>305</v>
      </c>
      <c r="H1327" s="233"/>
      <c r="I1327" s="242"/>
    </row>
    <row r="1328" spans="1:9" ht="16.5" customHeight="1">
      <c r="A1328" s="66"/>
      <c r="B1328" s="9"/>
      <c r="C1328" s="2">
        <v>4300</v>
      </c>
      <c r="D1328" s="169" t="s">
        <v>446</v>
      </c>
      <c r="E1328" s="41">
        <v>6071</v>
      </c>
      <c r="F1328" s="126"/>
      <c r="G1328" s="41">
        <v>3985</v>
      </c>
      <c r="H1328" s="233"/>
      <c r="I1328" s="242"/>
    </row>
    <row r="1329" spans="1:9" ht="26.25" customHeight="1">
      <c r="A1329" s="66"/>
      <c r="B1329" s="9"/>
      <c r="C1329" s="1">
        <v>4360</v>
      </c>
      <c r="D1329" s="169" t="s">
        <v>215</v>
      </c>
      <c r="E1329" s="41">
        <v>715</v>
      </c>
      <c r="F1329" s="126"/>
      <c r="G1329" s="41">
        <v>615</v>
      </c>
      <c r="H1329" s="233"/>
      <c r="I1329" s="242"/>
    </row>
    <row r="1330" spans="1:9" ht="24" customHeight="1">
      <c r="A1330" s="66"/>
      <c r="B1330" s="9"/>
      <c r="C1330" s="1">
        <v>4390</v>
      </c>
      <c r="D1330" s="201" t="s">
        <v>354</v>
      </c>
      <c r="E1330" s="41">
        <v>90</v>
      </c>
      <c r="F1330" s="126"/>
      <c r="G1330" s="41">
        <v>110</v>
      </c>
      <c r="H1330" s="233"/>
      <c r="I1330" s="242"/>
    </row>
    <row r="1331" spans="1:9" ht="16.5" customHeight="1">
      <c r="A1331" s="66"/>
      <c r="B1331" s="9"/>
      <c r="C1331" s="2">
        <v>4410</v>
      </c>
      <c r="D1331" s="169" t="s">
        <v>523</v>
      </c>
      <c r="E1331" s="41">
        <v>70</v>
      </c>
      <c r="F1331" s="126"/>
      <c r="G1331" s="41">
        <v>70</v>
      </c>
      <c r="H1331" s="233"/>
      <c r="I1331" s="242"/>
    </row>
    <row r="1332" spans="1:9" ht="16.5" customHeight="1">
      <c r="A1332" s="66"/>
      <c r="B1332" s="9"/>
      <c r="C1332" s="2">
        <v>4420</v>
      </c>
      <c r="D1332" s="169" t="s">
        <v>524</v>
      </c>
      <c r="E1332" s="41">
        <v>10</v>
      </c>
      <c r="F1332" s="126"/>
      <c r="G1332" s="41">
        <v>10</v>
      </c>
      <c r="H1332" s="233"/>
      <c r="I1332" s="242"/>
    </row>
    <row r="1333" spans="1:9" ht="16.5" customHeight="1">
      <c r="A1333" s="66"/>
      <c r="B1333" s="9"/>
      <c r="C1333" s="2">
        <v>4430</v>
      </c>
      <c r="D1333" s="169" t="s">
        <v>429</v>
      </c>
      <c r="E1333" s="41">
        <v>410</v>
      </c>
      <c r="F1333" s="126"/>
      <c r="G1333" s="41">
        <v>440</v>
      </c>
      <c r="H1333" s="233"/>
      <c r="I1333" s="242"/>
    </row>
    <row r="1334" spans="1:9" ht="24" customHeight="1">
      <c r="A1334" s="66"/>
      <c r="B1334" s="9"/>
      <c r="C1334" s="2">
        <v>4440</v>
      </c>
      <c r="D1334" s="169" t="s">
        <v>521</v>
      </c>
      <c r="E1334" s="41">
        <v>35306</v>
      </c>
      <c r="F1334" s="126"/>
      <c r="G1334" s="41">
        <v>41535</v>
      </c>
      <c r="H1334" s="233"/>
      <c r="I1334" s="242"/>
    </row>
    <row r="1335" spans="1:9" ht="16.5" customHeight="1">
      <c r="A1335" s="66"/>
      <c r="B1335" s="9"/>
      <c r="C1335" s="2">
        <v>4480</v>
      </c>
      <c r="D1335" s="169" t="s">
        <v>367</v>
      </c>
      <c r="E1335" s="41">
        <v>30</v>
      </c>
      <c r="F1335" s="126"/>
      <c r="G1335" s="41">
        <v>30</v>
      </c>
      <c r="H1335" s="233"/>
      <c r="I1335" s="242"/>
    </row>
    <row r="1336" spans="1:9" ht="21.75" customHeight="1">
      <c r="A1336" s="66"/>
      <c r="B1336" s="9"/>
      <c r="C1336" s="2">
        <v>4510</v>
      </c>
      <c r="D1336" s="169" t="s">
        <v>417</v>
      </c>
      <c r="E1336" s="41">
        <v>14</v>
      </c>
      <c r="F1336" s="126"/>
      <c r="G1336" s="41">
        <v>0</v>
      </c>
      <c r="H1336" s="233"/>
      <c r="I1336" s="242"/>
    </row>
    <row r="1337" spans="1:9" ht="24" customHeight="1">
      <c r="A1337" s="66"/>
      <c r="B1337" s="9"/>
      <c r="C1337" s="2">
        <v>4520</v>
      </c>
      <c r="D1337" s="169" t="s">
        <v>417</v>
      </c>
      <c r="E1337" s="41">
        <v>570</v>
      </c>
      <c r="F1337" s="126"/>
      <c r="G1337" s="41">
        <v>770</v>
      </c>
      <c r="H1337" s="233"/>
      <c r="I1337" s="242"/>
    </row>
    <row r="1338" spans="1:9" ht="24" customHeight="1">
      <c r="A1338" s="66"/>
      <c r="B1338" s="9"/>
      <c r="C1338" s="2">
        <v>4700</v>
      </c>
      <c r="D1338" s="169" t="s">
        <v>418</v>
      </c>
      <c r="E1338" s="41">
        <v>40</v>
      </c>
      <c r="F1338" s="126"/>
      <c r="G1338" s="41">
        <v>40</v>
      </c>
      <c r="H1338" s="233"/>
      <c r="I1338" s="241"/>
    </row>
    <row r="1339" spans="1:9" ht="20.25" customHeight="1">
      <c r="A1339" s="66"/>
      <c r="B1339" s="23">
        <v>85403</v>
      </c>
      <c r="C1339" s="24"/>
      <c r="D1339" s="174" t="s">
        <v>132</v>
      </c>
      <c r="E1339" s="38">
        <f>SUM(E1340:E1363)</f>
        <v>3803749</v>
      </c>
      <c r="F1339" s="126"/>
      <c r="G1339" s="38">
        <f>SUM(G1340:G1363)</f>
        <v>3366273</v>
      </c>
      <c r="H1339" s="233"/>
      <c r="I1339" s="242">
        <f>G1339/E1339*100</f>
        <v>88.49882050576944</v>
      </c>
    </row>
    <row r="1340" spans="1:9" ht="24" customHeight="1">
      <c r="A1340" s="66"/>
      <c r="B1340" s="29"/>
      <c r="C1340" s="2">
        <v>2540</v>
      </c>
      <c r="D1340" s="169" t="s">
        <v>288</v>
      </c>
      <c r="E1340" s="88">
        <v>1500000</v>
      </c>
      <c r="F1340" s="126"/>
      <c r="G1340" s="88">
        <v>1310000</v>
      </c>
      <c r="H1340" s="233"/>
      <c r="I1340" s="289"/>
    </row>
    <row r="1341" spans="1:9" ht="25.5" customHeight="1">
      <c r="A1341" s="66"/>
      <c r="B1341" s="9"/>
      <c r="C1341" s="2">
        <v>3020</v>
      </c>
      <c r="D1341" s="169" t="s">
        <v>284</v>
      </c>
      <c r="E1341" s="41">
        <v>4610</v>
      </c>
      <c r="F1341" s="126"/>
      <c r="G1341" s="41">
        <v>3910</v>
      </c>
      <c r="H1341" s="233"/>
      <c r="I1341" s="242"/>
    </row>
    <row r="1342" spans="1:9" ht="16.5" customHeight="1">
      <c r="A1342" s="66"/>
      <c r="B1342" s="9"/>
      <c r="C1342" s="2">
        <v>3110</v>
      </c>
      <c r="D1342" s="169" t="s">
        <v>502</v>
      </c>
      <c r="E1342" s="41">
        <v>1600</v>
      </c>
      <c r="F1342" s="126"/>
      <c r="G1342" s="41">
        <v>1100</v>
      </c>
      <c r="H1342" s="233"/>
      <c r="I1342" s="242"/>
    </row>
    <row r="1343" spans="1:9" ht="16.5" customHeight="1">
      <c r="A1343" s="66"/>
      <c r="B1343" s="9"/>
      <c r="C1343" s="2">
        <v>4010</v>
      </c>
      <c r="D1343" s="169" t="s">
        <v>492</v>
      </c>
      <c r="E1343" s="41">
        <v>1542505</v>
      </c>
      <c r="F1343" s="126"/>
      <c r="G1343" s="41">
        <v>1394740</v>
      </c>
      <c r="H1343" s="233"/>
      <c r="I1343" s="242"/>
    </row>
    <row r="1344" spans="1:9" ht="16.5" customHeight="1">
      <c r="A1344" s="66"/>
      <c r="B1344" s="9"/>
      <c r="C1344" s="2">
        <v>4040</v>
      </c>
      <c r="D1344" s="169" t="s">
        <v>493</v>
      </c>
      <c r="E1344" s="41">
        <v>118511</v>
      </c>
      <c r="F1344" s="126"/>
      <c r="G1344" s="41">
        <v>122810</v>
      </c>
      <c r="H1344" s="233"/>
      <c r="I1344" s="242"/>
    </row>
    <row r="1345" spans="1:9" ht="16.5" customHeight="1">
      <c r="A1345" s="66"/>
      <c r="B1345" s="9"/>
      <c r="C1345" s="2">
        <v>4110</v>
      </c>
      <c r="D1345" s="169" t="s">
        <v>519</v>
      </c>
      <c r="E1345" s="41">
        <v>255510</v>
      </c>
      <c r="F1345" s="126"/>
      <c r="G1345" s="41">
        <v>236230</v>
      </c>
      <c r="H1345" s="233"/>
      <c r="I1345" s="242"/>
    </row>
    <row r="1346" spans="1:9" ht="16.5" customHeight="1">
      <c r="A1346" s="66"/>
      <c r="B1346" s="9"/>
      <c r="C1346" s="2">
        <v>4120</v>
      </c>
      <c r="D1346" s="169" t="s">
        <v>520</v>
      </c>
      <c r="E1346" s="41">
        <v>32120</v>
      </c>
      <c r="F1346" s="126"/>
      <c r="G1346" s="41">
        <v>35950</v>
      </c>
      <c r="H1346" s="233"/>
      <c r="I1346" s="242"/>
    </row>
    <row r="1347" spans="1:9" ht="16.5" customHeight="1">
      <c r="A1347" s="66"/>
      <c r="B1347" s="9"/>
      <c r="C1347" s="2">
        <v>4170</v>
      </c>
      <c r="D1347" s="169" t="s">
        <v>526</v>
      </c>
      <c r="E1347" s="41">
        <v>500</v>
      </c>
      <c r="F1347" s="126"/>
      <c r="G1347" s="41">
        <v>500</v>
      </c>
      <c r="H1347" s="233"/>
      <c r="I1347" s="242"/>
    </row>
    <row r="1348" spans="1:9" ht="16.5" customHeight="1">
      <c r="A1348" s="66"/>
      <c r="B1348" s="9"/>
      <c r="C1348" s="2">
        <v>4210</v>
      </c>
      <c r="D1348" s="169" t="s">
        <v>449</v>
      </c>
      <c r="E1348" s="41">
        <v>45211</v>
      </c>
      <c r="F1348" s="126"/>
      <c r="G1348" s="41">
        <v>15441</v>
      </c>
      <c r="H1348" s="233"/>
      <c r="I1348" s="242"/>
    </row>
    <row r="1349" spans="1:9" ht="16.5" customHeight="1">
      <c r="A1349" s="66"/>
      <c r="B1349" s="9"/>
      <c r="C1349" s="2">
        <v>4220</v>
      </c>
      <c r="D1349" s="169" t="s">
        <v>322</v>
      </c>
      <c r="E1349" s="41">
        <v>62160</v>
      </c>
      <c r="F1349" s="126"/>
      <c r="G1349" s="41">
        <v>49960</v>
      </c>
      <c r="H1349" s="233"/>
      <c r="I1349" s="242"/>
    </row>
    <row r="1350" spans="1:9" ht="17.25" customHeight="1">
      <c r="A1350" s="66"/>
      <c r="B1350" s="9"/>
      <c r="C1350" s="2">
        <v>4240</v>
      </c>
      <c r="D1350" s="169" t="s">
        <v>405</v>
      </c>
      <c r="E1350" s="41">
        <v>20</v>
      </c>
      <c r="F1350" s="126"/>
      <c r="G1350" s="41">
        <v>40</v>
      </c>
      <c r="H1350" s="233"/>
      <c r="I1350" s="242"/>
    </row>
    <row r="1351" spans="1:9" ht="17.25" customHeight="1">
      <c r="A1351" s="66"/>
      <c r="B1351" s="9"/>
      <c r="C1351" s="2">
        <v>4260</v>
      </c>
      <c r="D1351" s="169" t="s">
        <v>533</v>
      </c>
      <c r="E1351" s="41">
        <v>83503</v>
      </c>
      <c r="F1351" s="126"/>
      <c r="G1351" s="41">
        <v>80503</v>
      </c>
      <c r="H1351" s="233"/>
      <c r="I1351" s="242"/>
    </row>
    <row r="1352" spans="1:9" ht="17.25" customHeight="1">
      <c r="A1352" s="66"/>
      <c r="B1352" s="9"/>
      <c r="C1352" s="2">
        <v>4270</v>
      </c>
      <c r="D1352" s="169" t="s">
        <v>450</v>
      </c>
      <c r="E1352" s="41">
        <v>39980</v>
      </c>
      <c r="F1352" s="126"/>
      <c r="G1352" s="41">
        <v>21850</v>
      </c>
      <c r="H1352" s="233"/>
      <c r="I1352" s="242"/>
    </row>
    <row r="1353" spans="1:9" ht="17.25" customHeight="1">
      <c r="A1353" s="66"/>
      <c r="B1353" s="9"/>
      <c r="C1353" s="2">
        <v>4280</v>
      </c>
      <c r="D1353" s="169" t="s">
        <v>286</v>
      </c>
      <c r="E1353" s="41">
        <v>985</v>
      </c>
      <c r="F1353" s="126"/>
      <c r="G1353" s="41">
        <v>2120</v>
      </c>
      <c r="H1353" s="233"/>
      <c r="I1353" s="242"/>
    </row>
    <row r="1354" spans="1:9" ht="17.25" customHeight="1">
      <c r="A1354" s="66"/>
      <c r="B1354" s="9"/>
      <c r="C1354" s="2">
        <v>4300</v>
      </c>
      <c r="D1354" s="169" t="s">
        <v>446</v>
      </c>
      <c r="E1354" s="41">
        <v>18660</v>
      </c>
      <c r="F1354" s="126"/>
      <c r="G1354" s="41">
        <v>18660</v>
      </c>
      <c r="H1354" s="233"/>
      <c r="I1354" s="242"/>
    </row>
    <row r="1355" spans="1:9" ht="27" customHeight="1">
      <c r="A1355" s="66"/>
      <c r="B1355" s="9"/>
      <c r="C1355" s="2">
        <v>4360</v>
      </c>
      <c r="D1355" s="169" t="s">
        <v>183</v>
      </c>
      <c r="E1355" s="41">
        <v>2310</v>
      </c>
      <c r="F1355" s="126"/>
      <c r="G1355" s="41">
        <v>1810</v>
      </c>
      <c r="H1355" s="233"/>
      <c r="I1355" s="242"/>
    </row>
    <row r="1356" spans="1:9" ht="24" customHeight="1">
      <c r="A1356" s="66"/>
      <c r="B1356" s="9"/>
      <c r="C1356" s="2">
        <v>4390</v>
      </c>
      <c r="D1356" s="201" t="s">
        <v>354</v>
      </c>
      <c r="E1356" s="41">
        <v>1264</v>
      </c>
      <c r="F1356" s="126"/>
      <c r="G1356" s="41">
        <v>264</v>
      </c>
      <c r="H1356" s="233"/>
      <c r="I1356" s="242"/>
    </row>
    <row r="1357" spans="1:9" ht="16.5" customHeight="1">
      <c r="A1357" s="66"/>
      <c r="B1357" s="9"/>
      <c r="C1357" s="2">
        <v>4410</v>
      </c>
      <c r="D1357" s="169" t="s">
        <v>523</v>
      </c>
      <c r="E1357" s="41">
        <v>250</v>
      </c>
      <c r="F1357" s="126"/>
      <c r="G1357" s="41">
        <v>250</v>
      </c>
      <c r="H1357" s="233"/>
      <c r="I1357" s="242"/>
    </row>
    <row r="1358" spans="1:9" ht="16.5" customHeight="1">
      <c r="A1358" s="66"/>
      <c r="B1358" s="9"/>
      <c r="C1358" s="2">
        <v>4430</v>
      </c>
      <c r="D1358" s="169" t="s">
        <v>429</v>
      </c>
      <c r="E1358" s="41">
        <v>6190</v>
      </c>
      <c r="F1358" s="126"/>
      <c r="G1358" s="41">
        <v>5190</v>
      </c>
      <c r="H1358" s="233"/>
      <c r="I1358" s="242"/>
    </row>
    <row r="1359" spans="1:9" ht="28.5" customHeight="1">
      <c r="A1359" s="66"/>
      <c r="B1359" s="9"/>
      <c r="C1359" s="2">
        <v>4440</v>
      </c>
      <c r="D1359" s="169" t="s">
        <v>521</v>
      </c>
      <c r="E1359" s="41">
        <v>71380</v>
      </c>
      <c r="F1359" s="126"/>
      <c r="G1359" s="41">
        <v>61190</v>
      </c>
      <c r="H1359" s="233"/>
      <c r="I1359" s="242"/>
    </row>
    <row r="1360" spans="1:9" ht="15.75" customHeight="1">
      <c r="A1360" s="66"/>
      <c r="B1360" s="9"/>
      <c r="C1360" s="2">
        <v>4480</v>
      </c>
      <c r="D1360" s="169" t="s">
        <v>367</v>
      </c>
      <c r="E1360" s="41">
        <v>277</v>
      </c>
      <c r="F1360" s="126"/>
      <c r="G1360" s="41">
        <v>277</v>
      </c>
      <c r="H1360" s="233"/>
      <c r="I1360" s="242"/>
    </row>
    <row r="1361" spans="1:9" ht="24" customHeight="1">
      <c r="A1361" s="66"/>
      <c r="B1361" s="9"/>
      <c r="C1361" s="2">
        <v>4520</v>
      </c>
      <c r="D1361" s="169" t="s">
        <v>417</v>
      </c>
      <c r="E1361" s="41">
        <v>1783</v>
      </c>
      <c r="F1361" s="126"/>
      <c r="G1361" s="41">
        <v>2507</v>
      </c>
      <c r="H1361" s="233"/>
      <c r="I1361" s="242"/>
    </row>
    <row r="1362" spans="1:9" ht="24" customHeight="1">
      <c r="A1362" s="66"/>
      <c r="B1362" s="9"/>
      <c r="C1362" s="2">
        <v>4700</v>
      </c>
      <c r="D1362" s="169" t="s">
        <v>418</v>
      </c>
      <c r="E1362" s="41">
        <v>1420</v>
      </c>
      <c r="F1362" s="126"/>
      <c r="G1362" s="41">
        <v>971</v>
      </c>
      <c r="H1362" s="233"/>
      <c r="I1362" s="242"/>
    </row>
    <row r="1363" spans="1:9" ht="24" customHeight="1">
      <c r="A1363" s="66"/>
      <c r="B1363" s="9"/>
      <c r="C1363" s="2">
        <v>6060</v>
      </c>
      <c r="D1363" s="169" t="s">
        <v>538</v>
      </c>
      <c r="E1363" s="41">
        <v>13000</v>
      </c>
      <c r="F1363" s="126"/>
      <c r="G1363" s="41">
        <v>0</v>
      </c>
      <c r="H1363" s="233"/>
      <c r="I1363" s="241"/>
    </row>
    <row r="1364" spans="1:9" ht="31.5" customHeight="1">
      <c r="A1364" s="66"/>
      <c r="B1364" s="23">
        <v>85406</v>
      </c>
      <c r="C1364" s="24"/>
      <c r="D1364" s="174" t="s">
        <v>265</v>
      </c>
      <c r="E1364" s="90">
        <f>SUM(E1365:E1385)</f>
        <v>1654335</v>
      </c>
      <c r="F1364" s="225"/>
      <c r="G1364" s="90">
        <f>SUM(G1365:G1385)</f>
        <v>1625190</v>
      </c>
      <c r="H1364" s="233"/>
      <c r="I1364" s="242">
        <f>G1364/E1364*100</f>
        <v>98.23826492215906</v>
      </c>
    </row>
    <row r="1365" spans="1:9" ht="23.25" customHeight="1">
      <c r="A1365" s="66"/>
      <c r="B1365" s="9"/>
      <c r="C1365" s="2">
        <v>3020</v>
      </c>
      <c r="D1365" s="169" t="s">
        <v>284</v>
      </c>
      <c r="E1365" s="88">
        <v>5741</v>
      </c>
      <c r="F1365" s="126"/>
      <c r="G1365" s="88">
        <v>5770</v>
      </c>
      <c r="H1365" s="233"/>
      <c r="I1365" s="289"/>
    </row>
    <row r="1366" spans="1:9" ht="16.5" customHeight="1">
      <c r="A1366" s="66"/>
      <c r="B1366" s="9"/>
      <c r="C1366" s="2">
        <v>4010</v>
      </c>
      <c r="D1366" s="169" t="s">
        <v>492</v>
      </c>
      <c r="E1366" s="41">
        <v>1113308</v>
      </c>
      <c r="F1366" s="126"/>
      <c r="G1366" s="41">
        <v>1110826</v>
      </c>
      <c r="H1366" s="233"/>
      <c r="I1366" s="242"/>
    </row>
    <row r="1367" spans="1:9" ht="16.5" customHeight="1">
      <c r="A1367" s="66"/>
      <c r="B1367" s="9"/>
      <c r="C1367" s="2">
        <v>4040</v>
      </c>
      <c r="D1367" s="169" t="s">
        <v>493</v>
      </c>
      <c r="E1367" s="41">
        <v>91239</v>
      </c>
      <c r="F1367" s="126"/>
      <c r="G1367" s="41">
        <v>94500</v>
      </c>
      <c r="H1367" s="233"/>
      <c r="I1367" s="242"/>
    </row>
    <row r="1368" spans="1:9" ht="16.5" customHeight="1">
      <c r="A1368" s="66"/>
      <c r="B1368" s="9"/>
      <c r="C1368" s="2">
        <v>4110</v>
      </c>
      <c r="D1368" s="169" t="s">
        <v>519</v>
      </c>
      <c r="E1368" s="41">
        <v>190335</v>
      </c>
      <c r="F1368" s="126"/>
      <c r="G1368" s="41">
        <v>200000</v>
      </c>
      <c r="H1368" s="233"/>
      <c r="I1368" s="242"/>
    </row>
    <row r="1369" spans="1:9" ht="16.5" customHeight="1">
      <c r="A1369" s="66"/>
      <c r="B1369" s="9"/>
      <c r="C1369" s="2">
        <v>4120</v>
      </c>
      <c r="D1369" s="169" t="s">
        <v>520</v>
      </c>
      <c r="E1369" s="41">
        <v>31569</v>
      </c>
      <c r="F1369" s="126"/>
      <c r="G1369" s="41">
        <v>21000</v>
      </c>
      <c r="H1369" s="233"/>
      <c r="I1369" s="242"/>
    </row>
    <row r="1370" spans="1:9" ht="24" customHeight="1">
      <c r="A1370" s="66"/>
      <c r="B1370" s="9"/>
      <c r="C1370" s="2">
        <v>4140</v>
      </c>
      <c r="D1370" s="169" t="s">
        <v>320</v>
      </c>
      <c r="E1370" s="41">
        <v>10806</v>
      </c>
      <c r="F1370" s="126"/>
      <c r="G1370" s="41">
        <v>0</v>
      </c>
      <c r="H1370" s="233"/>
      <c r="I1370" s="242"/>
    </row>
    <row r="1371" spans="1:9" ht="16.5" customHeight="1">
      <c r="A1371" s="66"/>
      <c r="B1371" s="9"/>
      <c r="C1371" s="2">
        <v>4170</v>
      </c>
      <c r="D1371" s="169" t="s">
        <v>526</v>
      </c>
      <c r="E1371" s="41">
        <v>6000</v>
      </c>
      <c r="F1371" s="126"/>
      <c r="G1371" s="41">
        <v>6000</v>
      </c>
      <c r="H1371" s="233"/>
      <c r="I1371" s="242"/>
    </row>
    <row r="1372" spans="1:9" ht="16.5" customHeight="1">
      <c r="A1372" s="66"/>
      <c r="B1372" s="9"/>
      <c r="C1372" s="2">
        <v>4210</v>
      </c>
      <c r="D1372" s="169" t="s">
        <v>449</v>
      </c>
      <c r="E1372" s="41">
        <v>31000</v>
      </c>
      <c r="F1372" s="126"/>
      <c r="G1372" s="41">
        <v>31000</v>
      </c>
      <c r="H1372" s="233"/>
      <c r="I1372" s="242"/>
    </row>
    <row r="1373" spans="1:9" ht="16.5" customHeight="1">
      <c r="A1373" s="66"/>
      <c r="B1373" s="9"/>
      <c r="C1373" s="2">
        <v>4240</v>
      </c>
      <c r="D1373" s="169" t="s">
        <v>405</v>
      </c>
      <c r="E1373" s="41">
        <v>11163</v>
      </c>
      <c r="F1373" s="126"/>
      <c r="G1373" s="41">
        <v>3920</v>
      </c>
      <c r="H1373" s="233"/>
      <c r="I1373" s="242"/>
    </row>
    <row r="1374" spans="1:9" ht="16.5" customHeight="1">
      <c r="A1374" s="66"/>
      <c r="B1374" s="9"/>
      <c r="C1374" s="2">
        <v>4260</v>
      </c>
      <c r="D1374" s="169" t="s">
        <v>533</v>
      </c>
      <c r="E1374" s="41">
        <v>22500</v>
      </c>
      <c r="F1374" s="126"/>
      <c r="G1374" s="41">
        <v>22500</v>
      </c>
      <c r="H1374" s="233"/>
      <c r="I1374" s="242"/>
    </row>
    <row r="1375" spans="1:9" ht="16.5" customHeight="1">
      <c r="A1375" s="66"/>
      <c r="B1375" s="9"/>
      <c r="C1375" s="2">
        <v>4270</v>
      </c>
      <c r="D1375" s="169" t="s">
        <v>450</v>
      </c>
      <c r="E1375" s="41">
        <v>33000</v>
      </c>
      <c r="F1375" s="126"/>
      <c r="G1375" s="41">
        <v>33000</v>
      </c>
      <c r="H1375" s="233"/>
      <c r="I1375" s="242"/>
    </row>
    <row r="1376" spans="1:9" ht="16.5" customHeight="1">
      <c r="A1376" s="66"/>
      <c r="B1376" s="9"/>
      <c r="C1376" s="2">
        <v>4280</v>
      </c>
      <c r="D1376" s="169" t="s">
        <v>286</v>
      </c>
      <c r="E1376" s="41">
        <v>1500</v>
      </c>
      <c r="F1376" s="126"/>
      <c r="G1376" s="41">
        <v>1000</v>
      </c>
      <c r="H1376" s="233"/>
      <c r="I1376" s="242"/>
    </row>
    <row r="1377" spans="1:9" ht="16.5" customHeight="1">
      <c r="A1377" s="66"/>
      <c r="B1377" s="9"/>
      <c r="C1377" s="2">
        <v>4300</v>
      </c>
      <c r="D1377" s="169" t="s">
        <v>446</v>
      </c>
      <c r="E1377" s="41">
        <v>14500</v>
      </c>
      <c r="F1377" s="126"/>
      <c r="G1377" s="41">
        <v>18000</v>
      </c>
      <c r="H1377" s="233"/>
      <c r="I1377" s="242"/>
    </row>
    <row r="1378" spans="1:9" ht="24" customHeight="1">
      <c r="A1378" s="66"/>
      <c r="B1378" s="9"/>
      <c r="C1378" s="2">
        <v>4360</v>
      </c>
      <c r="D1378" s="169" t="s">
        <v>183</v>
      </c>
      <c r="E1378" s="41">
        <v>6900</v>
      </c>
      <c r="F1378" s="126"/>
      <c r="G1378" s="41">
        <v>6900</v>
      </c>
      <c r="H1378" s="233"/>
      <c r="I1378" s="242"/>
    </row>
    <row r="1379" spans="1:9" ht="24" customHeight="1">
      <c r="A1379" s="66"/>
      <c r="B1379" s="9"/>
      <c r="C1379" s="2">
        <v>4390</v>
      </c>
      <c r="D1379" s="201" t="s">
        <v>354</v>
      </c>
      <c r="E1379" s="41">
        <v>500</v>
      </c>
      <c r="F1379" s="126"/>
      <c r="G1379" s="41">
        <v>0</v>
      </c>
      <c r="H1379" s="233"/>
      <c r="I1379" s="242"/>
    </row>
    <row r="1380" spans="1:9" ht="16.5" customHeight="1">
      <c r="A1380" s="66"/>
      <c r="B1380" s="9"/>
      <c r="C1380" s="2">
        <v>4410</v>
      </c>
      <c r="D1380" s="169" t="s">
        <v>523</v>
      </c>
      <c r="E1380" s="41">
        <v>1000</v>
      </c>
      <c r="F1380" s="126"/>
      <c r="G1380" s="41">
        <v>1000</v>
      </c>
      <c r="H1380" s="233"/>
      <c r="I1380" s="242"/>
    </row>
    <row r="1381" spans="1:9" ht="16.5" customHeight="1">
      <c r="A1381" s="66"/>
      <c r="B1381" s="9"/>
      <c r="C1381" s="2">
        <v>4430</v>
      </c>
      <c r="D1381" s="169" t="s">
        <v>429</v>
      </c>
      <c r="E1381" s="41">
        <v>1000</v>
      </c>
      <c r="F1381" s="126"/>
      <c r="G1381" s="41">
        <v>1000</v>
      </c>
      <c r="H1381" s="233"/>
      <c r="I1381" s="242"/>
    </row>
    <row r="1382" spans="1:9" ht="24" customHeight="1">
      <c r="A1382" s="66"/>
      <c r="B1382" s="9"/>
      <c r="C1382" s="2">
        <v>4440</v>
      </c>
      <c r="D1382" s="169" t="s">
        <v>521</v>
      </c>
      <c r="E1382" s="41">
        <v>65674</v>
      </c>
      <c r="F1382" s="126"/>
      <c r="G1382" s="41">
        <v>65674</v>
      </c>
      <c r="H1382" s="233"/>
      <c r="I1382" s="242"/>
    </row>
    <row r="1383" spans="1:9" ht="24" customHeight="1">
      <c r="A1383" s="66"/>
      <c r="B1383" s="9"/>
      <c r="C1383" s="2">
        <v>4520</v>
      </c>
      <c r="D1383" s="169" t="s">
        <v>417</v>
      </c>
      <c r="E1383" s="41">
        <v>1600</v>
      </c>
      <c r="F1383" s="126"/>
      <c r="G1383" s="41">
        <v>1600</v>
      </c>
      <c r="H1383" s="233"/>
      <c r="I1383" s="242"/>
    </row>
    <row r="1384" spans="1:9" ht="27.75" customHeight="1">
      <c r="A1384" s="66"/>
      <c r="B1384" s="9"/>
      <c r="C1384" s="2">
        <v>4700</v>
      </c>
      <c r="D1384" s="169" t="s">
        <v>418</v>
      </c>
      <c r="E1384" s="41">
        <v>1000</v>
      </c>
      <c r="F1384" s="126"/>
      <c r="G1384" s="41">
        <v>1500</v>
      </c>
      <c r="H1384" s="233"/>
      <c r="I1384" s="242"/>
    </row>
    <row r="1385" spans="1:9" ht="27" customHeight="1">
      <c r="A1385" s="66"/>
      <c r="B1385" s="9"/>
      <c r="C1385" s="2">
        <v>6060</v>
      </c>
      <c r="D1385" s="169" t="s">
        <v>538</v>
      </c>
      <c r="E1385" s="41">
        <v>14000</v>
      </c>
      <c r="F1385" s="126"/>
      <c r="G1385" s="41">
        <v>0</v>
      </c>
      <c r="H1385" s="233"/>
      <c r="I1385" s="241"/>
    </row>
    <row r="1386" spans="1:9" ht="24" customHeight="1">
      <c r="A1386" s="66"/>
      <c r="B1386" s="23">
        <v>85410</v>
      </c>
      <c r="C1386" s="24"/>
      <c r="D1386" s="174" t="s">
        <v>463</v>
      </c>
      <c r="E1386" s="38">
        <f>SUM(E1387:E1407)</f>
        <v>1925260</v>
      </c>
      <c r="F1386" s="126"/>
      <c r="G1386" s="38">
        <f>SUM(G1387:G1407)</f>
        <v>1929953</v>
      </c>
      <c r="H1386" s="233"/>
      <c r="I1386" s="242">
        <f>G1386/E1386*100</f>
        <v>100.24375928446028</v>
      </c>
    </row>
    <row r="1387" spans="1:9" ht="25.5" customHeight="1">
      <c r="A1387" s="66"/>
      <c r="B1387" s="9"/>
      <c r="C1387" s="2">
        <v>3020</v>
      </c>
      <c r="D1387" s="169" t="s">
        <v>284</v>
      </c>
      <c r="E1387" s="88">
        <v>4500</v>
      </c>
      <c r="F1387" s="126"/>
      <c r="G1387" s="88">
        <v>4500</v>
      </c>
      <c r="H1387" s="233"/>
      <c r="I1387" s="289"/>
    </row>
    <row r="1388" spans="1:9" ht="16.5" customHeight="1">
      <c r="A1388" s="66"/>
      <c r="B1388" s="9"/>
      <c r="C1388" s="2">
        <v>4010</v>
      </c>
      <c r="D1388" s="169" t="s">
        <v>492</v>
      </c>
      <c r="E1388" s="41">
        <v>984300</v>
      </c>
      <c r="F1388" s="126"/>
      <c r="G1388" s="41">
        <v>955600</v>
      </c>
      <c r="H1388" s="233"/>
      <c r="I1388" s="242"/>
    </row>
    <row r="1389" spans="1:9" ht="16.5" customHeight="1">
      <c r="A1389" s="66"/>
      <c r="B1389" s="9"/>
      <c r="C1389" s="2">
        <v>4040</v>
      </c>
      <c r="D1389" s="169" t="s">
        <v>493</v>
      </c>
      <c r="E1389" s="41">
        <v>75448</v>
      </c>
      <c r="F1389" s="126"/>
      <c r="G1389" s="41">
        <v>89600</v>
      </c>
      <c r="H1389" s="233"/>
      <c r="I1389" s="242"/>
    </row>
    <row r="1390" spans="1:9" ht="16.5" customHeight="1">
      <c r="A1390" s="66"/>
      <c r="B1390" s="9"/>
      <c r="C1390" s="2">
        <v>4110</v>
      </c>
      <c r="D1390" s="169" t="s">
        <v>519</v>
      </c>
      <c r="E1390" s="41">
        <v>172352</v>
      </c>
      <c r="F1390" s="126"/>
      <c r="G1390" s="41">
        <v>180000</v>
      </c>
      <c r="H1390" s="233"/>
      <c r="I1390" s="242"/>
    </row>
    <row r="1391" spans="1:9" ht="16.5" customHeight="1">
      <c r="A1391" s="66"/>
      <c r="B1391" s="9"/>
      <c r="C1391" s="2">
        <v>4120</v>
      </c>
      <c r="D1391" s="169" t="s">
        <v>520</v>
      </c>
      <c r="E1391" s="41">
        <v>27300</v>
      </c>
      <c r="F1391" s="126"/>
      <c r="G1391" s="41">
        <v>28000</v>
      </c>
      <c r="H1391" s="233"/>
      <c r="I1391" s="242"/>
    </row>
    <row r="1392" spans="1:9" ht="24" customHeight="1">
      <c r="A1392" s="66"/>
      <c r="B1392" s="9"/>
      <c r="C1392" s="2">
        <v>4140</v>
      </c>
      <c r="D1392" s="169" t="s">
        <v>320</v>
      </c>
      <c r="E1392" s="41">
        <v>11000</v>
      </c>
      <c r="F1392" s="126"/>
      <c r="G1392" s="41">
        <v>12000</v>
      </c>
      <c r="H1392" s="233"/>
      <c r="I1392" s="242"/>
    </row>
    <row r="1393" spans="1:9" ht="16.5" customHeight="1">
      <c r="A1393" s="66"/>
      <c r="B1393" s="9"/>
      <c r="C1393" s="2">
        <v>4170</v>
      </c>
      <c r="D1393" s="169" t="s">
        <v>526</v>
      </c>
      <c r="E1393" s="41">
        <v>6300</v>
      </c>
      <c r="F1393" s="126"/>
      <c r="G1393" s="41">
        <v>6300</v>
      </c>
      <c r="H1393" s="233"/>
      <c r="I1393" s="242"/>
    </row>
    <row r="1394" spans="1:9" ht="16.5" customHeight="1">
      <c r="A1394" s="66"/>
      <c r="B1394" s="9"/>
      <c r="C1394" s="2">
        <v>4210</v>
      </c>
      <c r="D1394" s="169" t="s">
        <v>449</v>
      </c>
      <c r="E1394" s="41">
        <v>64000</v>
      </c>
      <c r="F1394" s="126"/>
      <c r="G1394" s="41">
        <v>58553</v>
      </c>
      <c r="H1394" s="233"/>
      <c r="I1394" s="242"/>
    </row>
    <row r="1395" spans="1:9" ht="16.5" customHeight="1">
      <c r="A1395" s="66"/>
      <c r="B1395" s="9"/>
      <c r="C1395" s="2">
        <v>4220</v>
      </c>
      <c r="D1395" s="169" t="s">
        <v>322</v>
      </c>
      <c r="E1395" s="41">
        <v>330000</v>
      </c>
      <c r="F1395" s="126"/>
      <c r="G1395" s="41">
        <v>340000</v>
      </c>
      <c r="H1395" s="233"/>
      <c r="I1395" s="242"/>
    </row>
    <row r="1396" spans="1:9" ht="16.5" customHeight="1">
      <c r="A1396" s="66"/>
      <c r="B1396" s="9"/>
      <c r="C1396" s="2">
        <v>4260</v>
      </c>
      <c r="D1396" s="169" t="s">
        <v>533</v>
      </c>
      <c r="E1396" s="41">
        <v>107926</v>
      </c>
      <c r="F1396" s="126"/>
      <c r="G1396" s="41">
        <v>112000</v>
      </c>
      <c r="H1396" s="233"/>
      <c r="I1396" s="242"/>
    </row>
    <row r="1397" spans="1:9" ht="16.5" customHeight="1">
      <c r="A1397" s="66"/>
      <c r="B1397" s="9"/>
      <c r="C1397" s="2">
        <v>4270</v>
      </c>
      <c r="D1397" s="169" t="s">
        <v>450</v>
      </c>
      <c r="E1397" s="41">
        <v>14000</v>
      </c>
      <c r="F1397" s="126"/>
      <c r="G1397" s="41">
        <v>14000</v>
      </c>
      <c r="H1397" s="233"/>
      <c r="I1397" s="242"/>
    </row>
    <row r="1398" spans="1:9" ht="16.5" customHeight="1">
      <c r="A1398" s="66"/>
      <c r="B1398" s="9"/>
      <c r="C1398" s="2">
        <v>4280</v>
      </c>
      <c r="D1398" s="169" t="s">
        <v>286</v>
      </c>
      <c r="E1398" s="41">
        <v>2566</v>
      </c>
      <c r="F1398" s="126"/>
      <c r="G1398" s="41">
        <v>1000</v>
      </c>
      <c r="H1398" s="233"/>
      <c r="I1398" s="242"/>
    </row>
    <row r="1399" spans="1:9" ht="16.5" customHeight="1">
      <c r="A1399" s="66"/>
      <c r="B1399" s="9"/>
      <c r="C1399" s="2">
        <v>4300</v>
      </c>
      <c r="D1399" s="169" t="s">
        <v>446</v>
      </c>
      <c r="E1399" s="41">
        <v>60980</v>
      </c>
      <c r="F1399" s="126"/>
      <c r="G1399" s="41">
        <v>55000</v>
      </c>
      <c r="H1399" s="233"/>
      <c r="I1399" s="242"/>
    </row>
    <row r="1400" spans="1:9" ht="24" customHeight="1">
      <c r="A1400" s="66"/>
      <c r="B1400" s="9"/>
      <c r="C1400" s="2">
        <v>4360</v>
      </c>
      <c r="D1400" s="169" t="s">
        <v>216</v>
      </c>
      <c r="E1400" s="41">
        <v>4474</v>
      </c>
      <c r="F1400" s="126"/>
      <c r="G1400" s="41">
        <v>4700</v>
      </c>
      <c r="H1400" s="233"/>
      <c r="I1400" s="242"/>
    </row>
    <row r="1401" spans="1:9" ht="24" customHeight="1">
      <c r="A1401" s="66"/>
      <c r="B1401" s="9"/>
      <c r="C1401" s="2">
        <v>4390</v>
      </c>
      <c r="D1401" s="169" t="s">
        <v>354</v>
      </c>
      <c r="E1401" s="41">
        <v>0</v>
      </c>
      <c r="F1401" s="126"/>
      <c r="G1401" s="41">
        <v>1000</v>
      </c>
      <c r="H1401" s="233"/>
      <c r="I1401" s="242"/>
    </row>
    <row r="1402" spans="1:9" ht="16.5" customHeight="1">
      <c r="A1402" s="66"/>
      <c r="B1402" s="9"/>
      <c r="C1402" s="2">
        <v>4410</v>
      </c>
      <c r="D1402" s="169" t="s">
        <v>523</v>
      </c>
      <c r="E1402" s="41">
        <v>0</v>
      </c>
      <c r="F1402" s="126"/>
      <c r="G1402" s="41">
        <v>300</v>
      </c>
      <c r="H1402" s="233"/>
      <c r="I1402" s="242"/>
    </row>
    <row r="1403" spans="1:9" ht="16.5" customHeight="1">
      <c r="A1403" s="66"/>
      <c r="B1403" s="9"/>
      <c r="C1403" s="2">
        <v>4430</v>
      </c>
      <c r="D1403" s="169" t="s">
        <v>429</v>
      </c>
      <c r="E1403" s="41">
        <v>2697</v>
      </c>
      <c r="F1403" s="126"/>
      <c r="G1403" s="41">
        <v>3000</v>
      </c>
      <c r="H1403" s="233"/>
      <c r="I1403" s="242"/>
    </row>
    <row r="1404" spans="1:9" ht="24" customHeight="1">
      <c r="A1404" s="66"/>
      <c r="B1404" s="9"/>
      <c r="C1404" s="2">
        <v>4440</v>
      </c>
      <c r="D1404" s="169" t="s">
        <v>521</v>
      </c>
      <c r="E1404" s="41">
        <v>50520</v>
      </c>
      <c r="F1404" s="126"/>
      <c r="G1404" s="41">
        <v>56500</v>
      </c>
      <c r="H1404" s="233"/>
      <c r="I1404" s="242"/>
    </row>
    <row r="1405" spans="1:9" ht="16.5" customHeight="1">
      <c r="A1405" s="66"/>
      <c r="B1405" s="9"/>
      <c r="C1405" s="2">
        <v>4480</v>
      </c>
      <c r="D1405" s="169" t="s">
        <v>367</v>
      </c>
      <c r="E1405" s="41">
        <v>1023</v>
      </c>
      <c r="F1405" s="126"/>
      <c r="G1405" s="41">
        <v>2100</v>
      </c>
      <c r="H1405" s="233"/>
      <c r="I1405" s="242"/>
    </row>
    <row r="1406" spans="1:9" s="53" customFormat="1" ht="24" customHeight="1">
      <c r="A1406" s="66"/>
      <c r="B1406" s="9"/>
      <c r="C1406" s="2">
        <v>4520</v>
      </c>
      <c r="D1406" s="169" t="s">
        <v>417</v>
      </c>
      <c r="E1406" s="41">
        <v>4804</v>
      </c>
      <c r="F1406" s="126"/>
      <c r="G1406" s="41">
        <v>5000</v>
      </c>
      <c r="H1406" s="233"/>
      <c r="I1406" s="242"/>
    </row>
    <row r="1407" spans="1:9" ht="24" customHeight="1">
      <c r="A1407" s="66"/>
      <c r="B1407" s="9"/>
      <c r="C1407" s="2">
        <v>4700</v>
      </c>
      <c r="D1407" s="169" t="s">
        <v>418</v>
      </c>
      <c r="E1407" s="41">
        <v>1070</v>
      </c>
      <c r="F1407" s="126"/>
      <c r="G1407" s="41">
        <v>800</v>
      </c>
      <c r="H1407" s="233"/>
      <c r="I1407" s="241"/>
    </row>
    <row r="1408" spans="1:9" ht="38.25" customHeight="1">
      <c r="A1408" s="82"/>
      <c r="B1408" s="24">
        <v>85412</v>
      </c>
      <c r="C1408" s="24"/>
      <c r="D1408" s="174" t="s">
        <v>338</v>
      </c>
      <c r="E1408" s="38">
        <f>E1409</f>
        <v>96000</v>
      </c>
      <c r="F1408" s="225"/>
      <c r="G1408" s="38">
        <f>G1409</f>
        <v>63000</v>
      </c>
      <c r="H1408" s="284"/>
      <c r="I1408" s="241">
        <f>G1408/E1408*100</f>
        <v>65.625</v>
      </c>
    </row>
    <row r="1409" spans="1:9" ht="21" customHeight="1">
      <c r="A1409" s="66"/>
      <c r="B1409" s="9"/>
      <c r="C1409" s="2">
        <v>4300</v>
      </c>
      <c r="D1409" s="169" t="s">
        <v>446</v>
      </c>
      <c r="E1409" s="55">
        <v>96000</v>
      </c>
      <c r="F1409" s="126"/>
      <c r="G1409" s="55">
        <v>63000</v>
      </c>
      <c r="H1409" s="233"/>
      <c r="I1409" s="241"/>
    </row>
    <row r="1410" spans="1:9" ht="20.25" customHeight="1">
      <c r="A1410" s="66"/>
      <c r="B1410" s="24">
        <v>85415</v>
      </c>
      <c r="C1410" s="24"/>
      <c r="D1410" s="174" t="s">
        <v>228</v>
      </c>
      <c r="E1410" s="38">
        <f>SUM(E1411:E1411)</f>
        <v>50000</v>
      </c>
      <c r="F1410" s="126"/>
      <c r="G1410" s="38">
        <f>SUM(G1411:G1411)</f>
        <v>50000</v>
      </c>
      <c r="H1410" s="233"/>
      <c r="I1410" s="241">
        <f>G1410/E1410*100</f>
        <v>100</v>
      </c>
    </row>
    <row r="1411" spans="1:9" ht="21" customHeight="1">
      <c r="A1411" s="66"/>
      <c r="B1411" s="9"/>
      <c r="C1411" s="2">
        <v>3240</v>
      </c>
      <c r="D1411" s="169" t="s">
        <v>229</v>
      </c>
      <c r="E1411" s="55">
        <v>50000</v>
      </c>
      <c r="F1411" s="126"/>
      <c r="G1411" s="55">
        <v>50000</v>
      </c>
      <c r="H1411" s="233"/>
      <c r="I1411" s="241"/>
    </row>
    <row r="1412" spans="1:9" ht="20.25" customHeight="1">
      <c r="A1412" s="66"/>
      <c r="B1412" s="23">
        <v>85417</v>
      </c>
      <c r="C1412" s="24"/>
      <c r="D1412" s="174" t="s">
        <v>464</v>
      </c>
      <c r="E1412" s="38">
        <f>SUM(E1413:E1430)</f>
        <v>446778</v>
      </c>
      <c r="F1412" s="126"/>
      <c r="G1412" s="38">
        <f>SUM(G1413:G1430)</f>
        <v>429880</v>
      </c>
      <c r="H1412" s="233"/>
      <c r="I1412" s="242">
        <f>G1412/E1412*100</f>
        <v>96.2178083970115</v>
      </c>
    </row>
    <row r="1413" spans="1:9" ht="24" customHeight="1">
      <c r="A1413" s="66"/>
      <c r="B1413" s="9"/>
      <c r="C1413" s="2">
        <v>3020</v>
      </c>
      <c r="D1413" s="169" t="s">
        <v>284</v>
      </c>
      <c r="E1413" s="88">
        <v>700</v>
      </c>
      <c r="F1413" s="126"/>
      <c r="G1413" s="88">
        <v>750</v>
      </c>
      <c r="H1413" s="233"/>
      <c r="I1413" s="289"/>
    </row>
    <row r="1414" spans="1:9" ht="16.5" customHeight="1">
      <c r="A1414" s="66"/>
      <c r="B1414" s="9"/>
      <c r="C1414" s="2">
        <v>4010</v>
      </c>
      <c r="D1414" s="169" t="s">
        <v>492</v>
      </c>
      <c r="E1414" s="41">
        <v>202791</v>
      </c>
      <c r="F1414" s="126"/>
      <c r="G1414" s="41">
        <v>209120</v>
      </c>
      <c r="H1414" s="233"/>
      <c r="I1414" s="242"/>
    </row>
    <row r="1415" spans="1:9" ht="16.5" customHeight="1">
      <c r="A1415" s="66"/>
      <c r="B1415" s="9"/>
      <c r="C1415" s="2">
        <v>4040</v>
      </c>
      <c r="D1415" s="169" t="s">
        <v>493</v>
      </c>
      <c r="E1415" s="41">
        <v>15931</v>
      </c>
      <c r="F1415" s="126"/>
      <c r="G1415" s="41">
        <v>17818</v>
      </c>
      <c r="H1415" s="233"/>
      <c r="I1415" s="242"/>
    </row>
    <row r="1416" spans="1:9" ht="16.5" customHeight="1">
      <c r="A1416" s="66"/>
      <c r="B1416" s="9"/>
      <c r="C1416" s="2">
        <v>4110</v>
      </c>
      <c r="D1416" s="169" t="s">
        <v>519</v>
      </c>
      <c r="E1416" s="41">
        <v>40345</v>
      </c>
      <c r="F1416" s="126"/>
      <c r="G1416" s="41">
        <v>39207</v>
      </c>
      <c r="H1416" s="233"/>
      <c r="I1416" s="242"/>
    </row>
    <row r="1417" spans="1:9" ht="16.5" customHeight="1">
      <c r="A1417" s="66"/>
      <c r="B1417" s="9"/>
      <c r="C1417" s="2">
        <v>4120</v>
      </c>
      <c r="D1417" s="169" t="s">
        <v>520</v>
      </c>
      <c r="E1417" s="41">
        <v>3750</v>
      </c>
      <c r="F1417" s="126"/>
      <c r="G1417" s="41">
        <v>4301</v>
      </c>
      <c r="H1417" s="233"/>
      <c r="I1417" s="242"/>
    </row>
    <row r="1418" spans="1:9" ht="16.5" customHeight="1">
      <c r="A1418" s="66"/>
      <c r="B1418" s="9"/>
      <c r="C1418" s="2">
        <v>4170</v>
      </c>
      <c r="D1418" s="169" t="s">
        <v>526</v>
      </c>
      <c r="E1418" s="41">
        <v>17520</v>
      </c>
      <c r="F1418" s="126"/>
      <c r="G1418" s="41">
        <v>19000</v>
      </c>
      <c r="H1418" s="233"/>
      <c r="I1418" s="242"/>
    </row>
    <row r="1419" spans="1:9" ht="16.5" customHeight="1">
      <c r="A1419" s="66"/>
      <c r="B1419" s="9"/>
      <c r="C1419" s="2">
        <v>4210</v>
      </c>
      <c r="D1419" s="169" t="s">
        <v>449</v>
      </c>
      <c r="E1419" s="41">
        <v>17000</v>
      </c>
      <c r="F1419" s="126"/>
      <c r="G1419" s="41">
        <v>17500</v>
      </c>
      <c r="H1419" s="233"/>
      <c r="I1419" s="242"/>
    </row>
    <row r="1420" spans="1:9" ht="16.5" customHeight="1">
      <c r="A1420" s="66"/>
      <c r="B1420" s="9"/>
      <c r="C1420" s="2">
        <v>4260</v>
      </c>
      <c r="D1420" s="169" t="s">
        <v>533</v>
      </c>
      <c r="E1420" s="41">
        <v>20000</v>
      </c>
      <c r="F1420" s="126"/>
      <c r="G1420" s="41">
        <v>20000</v>
      </c>
      <c r="H1420" s="233"/>
      <c r="I1420" s="242"/>
    </row>
    <row r="1421" spans="1:9" ht="16.5" customHeight="1">
      <c r="A1421" s="66"/>
      <c r="B1421" s="9"/>
      <c r="C1421" s="2">
        <v>4270</v>
      </c>
      <c r="D1421" s="169" t="s">
        <v>450</v>
      </c>
      <c r="E1421" s="41">
        <v>18000</v>
      </c>
      <c r="F1421" s="126"/>
      <c r="G1421" s="41">
        <v>16500</v>
      </c>
      <c r="H1421" s="233"/>
      <c r="I1421" s="242"/>
    </row>
    <row r="1422" spans="1:9" ht="16.5" customHeight="1">
      <c r="A1422" s="66"/>
      <c r="B1422" s="9"/>
      <c r="C1422" s="2">
        <v>4280</v>
      </c>
      <c r="D1422" s="169" t="s">
        <v>286</v>
      </c>
      <c r="E1422" s="41">
        <v>100</v>
      </c>
      <c r="F1422" s="126"/>
      <c r="G1422" s="41">
        <v>120</v>
      </c>
      <c r="H1422" s="233"/>
      <c r="I1422" s="242"/>
    </row>
    <row r="1423" spans="1:9" ht="16.5" customHeight="1">
      <c r="A1423" s="66"/>
      <c r="B1423" s="9"/>
      <c r="C1423" s="2">
        <v>4300</v>
      </c>
      <c r="D1423" s="169" t="s">
        <v>446</v>
      </c>
      <c r="E1423" s="41">
        <v>83121</v>
      </c>
      <c r="F1423" s="126"/>
      <c r="G1423" s="41">
        <v>56020</v>
      </c>
      <c r="H1423" s="233"/>
      <c r="I1423" s="242"/>
    </row>
    <row r="1424" spans="1:9" ht="24" customHeight="1">
      <c r="A1424" s="66"/>
      <c r="B1424" s="9"/>
      <c r="C1424" s="2">
        <v>4360</v>
      </c>
      <c r="D1424" s="169" t="s">
        <v>216</v>
      </c>
      <c r="E1424" s="41">
        <v>2558</v>
      </c>
      <c r="F1424" s="126"/>
      <c r="G1424" s="41">
        <v>2782</v>
      </c>
      <c r="H1424" s="233"/>
      <c r="I1424" s="242"/>
    </row>
    <row r="1425" spans="1:9" ht="16.5" customHeight="1">
      <c r="A1425" s="66"/>
      <c r="B1425" s="9"/>
      <c r="C1425" s="2">
        <v>4410</v>
      </c>
      <c r="D1425" s="169" t="s">
        <v>523</v>
      </c>
      <c r="E1425" s="41">
        <v>2400</v>
      </c>
      <c r="F1425" s="126"/>
      <c r="G1425" s="41">
        <v>2400</v>
      </c>
      <c r="H1425" s="233"/>
      <c r="I1425" s="242"/>
    </row>
    <row r="1426" spans="1:9" ht="16.5" customHeight="1">
      <c r="A1426" s="66"/>
      <c r="B1426" s="9"/>
      <c r="C1426" s="2">
        <v>4430</v>
      </c>
      <c r="D1426" s="169" t="s">
        <v>429</v>
      </c>
      <c r="E1426" s="41">
        <v>1000</v>
      </c>
      <c r="F1426" s="126"/>
      <c r="G1426" s="41">
        <v>1000</v>
      </c>
      <c r="H1426" s="233"/>
      <c r="I1426" s="242"/>
    </row>
    <row r="1427" spans="1:9" ht="24" customHeight="1">
      <c r="A1427" s="66"/>
      <c r="B1427" s="9"/>
      <c r="C1427" s="2">
        <v>4440</v>
      </c>
      <c r="D1427" s="169" t="s">
        <v>521</v>
      </c>
      <c r="E1427" s="41">
        <v>6382</v>
      </c>
      <c r="F1427" s="126"/>
      <c r="G1427" s="41">
        <v>6382</v>
      </c>
      <c r="H1427" s="233"/>
      <c r="I1427" s="242"/>
    </row>
    <row r="1428" spans="1:9" ht="24" customHeight="1">
      <c r="A1428" s="66"/>
      <c r="B1428" s="9"/>
      <c r="C1428" s="2">
        <v>4520</v>
      </c>
      <c r="D1428" s="169" t="s">
        <v>417</v>
      </c>
      <c r="E1428" s="41">
        <v>980</v>
      </c>
      <c r="F1428" s="126"/>
      <c r="G1428" s="41">
        <v>980</v>
      </c>
      <c r="H1428" s="233"/>
      <c r="I1428" s="242"/>
    </row>
    <row r="1429" spans="1:9" ht="15.75" customHeight="1">
      <c r="A1429" s="66"/>
      <c r="B1429" s="9"/>
      <c r="C1429" s="2">
        <v>4530</v>
      </c>
      <c r="D1429" s="169" t="s">
        <v>230</v>
      </c>
      <c r="E1429" s="41">
        <v>13200</v>
      </c>
      <c r="F1429" s="126"/>
      <c r="G1429" s="41">
        <v>15000</v>
      </c>
      <c r="H1429" s="233"/>
      <c r="I1429" s="242"/>
    </row>
    <row r="1430" spans="1:9" ht="23.25" customHeight="1">
      <c r="A1430" s="66"/>
      <c r="B1430" s="9"/>
      <c r="C1430" s="2">
        <v>4700</v>
      </c>
      <c r="D1430" s="169" t="s">
        <v>418</v>
      </c>
      <c r="E1430" s="41">
        <v>1000</v>
      </c>
      <c r="F1430" s="126"/>
      <c r="G1430" s="41">
        <v>1000</v>
      </c>
      <c r="H1430" s="233"/>
      <c r="I1430" s="241"/>
    </row>
    <row r="1431" spans="1:9" ht="20.25" customHeight="1">
      <c r="A1431" s="66"/>
      <c r="B1431" s="24">
        <v>85446</v>
      </c>
      <c r="C1431" s="24"/>
      <c r="D1431" s="174" t="s">
        <v>257</v>
      </c>
      <c r="E1431" s="38">
        <f>SUM(E1432:E1435)</f>
        <v>25285</v>
      </c>
      <c r="F1431" s="126"/>
      <c r="G1431" s="38">
        <f>SUM(G1432:G1435)</f>
        <v>25436</v>
      </c>
      <c r="H1431" s="233"/>
      <c r="I1431" s="242">
        <f>G1431/E1431*100</f>
        <v>100.59719201107376</v>
      </c>
    </row>
    <row r="1432" spans="1:9" ht="20.25" customHeight="1">
      <c r="A1432" s="69"/>
      <c r="B1432" s="32"/>
      <c r="C1432" s="2">
        <v>4210</v>
      </c>
      <c r="D1432" s="169" t="s">
        <v>449</v>
      </c>
      <c r="E1432" s="41">
        <v>0</v>
      </c>
      <c r="F1432" s="126"/>
      <c r="G1432" s="41">
        <v>300</v>
      </c>
      <c r="H1432" s="233"/>
      <c r="I1432" s="289"/>
    </row>
    <row r="1433" spans="1:9" ht="16.5" customHeight="1">
      <c r="A1433" s="69"/>
      <c r="B1433" s="7"/>
      <c r="C1433" s="8">
        <v>4300</v>
      </c>
      <c r="D1433" s="169" t="s">
        <v>446</v>
      </c>
      <c r="E1433" s="41">
        <v>7620</v>
      </c>
      <c r="F1433" s="126"/>
      <c r="G1433" s="41">
        <v>6300</v>
      </c>
      <c r="H1433" s="233"/>
      <c r="I1433" s="242"/>
    </row>
    <row r="1434" spans="1:9" ht="16.5" customHeight="1">
      <c r="A1434" s="69"/>
      <c r="B1434" s="7"/>
      <c r="C1434" s="8">
        <v>4410</v>
      </c>
      <c r="D1434" s="169" t="s">
        <v>523</v>
      </c>
      <c r="E1434" s="41">
        <v>909</v>
      </c>
      <c r="F1434" s="126"/>
      <c r="G1434" s="41">
        <v>1025</v>
      </c>
      <c r="H1434" s="233"/>
      <c r="I1434" s="242"/>
    </row>
    <row r="1435" spans="1:9" ht="23.25" customHeight="1">
      <c r="A1435" s="69"/>
      <c r="B1435" s="1"/>
      <c r="C1435" s="8">
        <v>4700</v>
      </c>
      <c r="D1435" s="169" t="s">
        <v>418</v>
      </c>
      <c r="E1435" s="41">
        <v>16756</v>
      </c>
      <c r="F1435" s="87"/>
      <c r="G1435" s="41">
        <v>17811</v>
      </c>
      <c r="H1435" s="127"/>
      <c r="I1435" s="241"/>
    </row>
    <row r="1436" spans="1:9" ht="24" customHeight="1">
      <c r="A1436" s="58">
        <v>921</v>
      </c>
      <c r="B1436" s="67"/>
      <c r="C1436" s="10"/>
      <c r="D1436" s="173" t="s">
        <v>133</v>
      </c>
      <c r="E1436" s="33">
        <f>E1437</f>
        <v>2638000</v>
      </c>
      <c r="F1436" s="126"/>
      <c r="G1436" s="33">
        <f>G1437</f>
        <v>2669900</v>
      </c>
      <c r="H1436" s="233"/>
      <c r="I1436" s="215">
        <f>G1436/E1436*100</f>
        <v>101.2092494313874</v>
      </c>
    </row>
    <row r="1437" spans="1:9" ht="20.25" customHeight="1">
      <c r="A1437" s="96"/>
      <c r="B1437" s="96">
        <v>92116</v>
      </c>
      <c r="C1437" s="24"/>
      <c r="D1437" s="174" t="s">
        <v>440</v>
      </c>
      <c r="E1437" s="38">
        <f>SUM(E1438:E1439)</f>
        <v>2638000</v>
      </c>
      <c r="F1437" s="72"/>
      <c r="G1437" s="38">
        <f>SUM(G1438:G1439)</f>
        <v>2669900</v>
      </c>
      <c r="H1437" s="128"/>
      <c r="I1437" s="242">
        <f>G1437/E1437*100</f>
        <v>101.2092494313874</v>
      </c>
    </row>
    <row r="1438" spans="1:9" ht="23.25" customHeight="1">
      <c r="A1438" s="79"/>
      <c r="B1438" s="75"/>
      <c r="C1438" s="15">
        <v>2480</v>
      </c>
      <c r="D1438" s="171" t="s">
        <v>134</v>
      </c>
      <c r="E1438" s="88">
        <v>2638000</v>
      </c>
      <c r="F1438" s="126"/>
      <c r="G1438" s="88">
        <v>2638000</v>
      </c>
      <c r="H1438" s="233"/>
      <c r="I1438" s="289"/>
    </row>
    <row r="1439" spans="1:9" ht="36.75" customHeight="1">
      <c r="A1439" s="79"/>
      <c r="B1439" s="85"/>
      <c r="C1439" s="12">
        <v>2800</v>
      </c>
      <c r="D1439" s="204" t="s">
        <v>393</v>
      </c>
      <c r="E1439" s="88">
        <v>0</v>
      </c>
      <c r="F1439" s="126"/>
      <c r="G1439" s="88">
        <v>31900</v>
      </c>
      <c r="H1439" s="233"/>
      <c r="I1439" s="241"/>
    </row>
    <row r="1440" spans="1:9" ht="25.5" customHeight="1">
      <c r="A1440" s="49" t="s">
        <v>135</v>
      </c>
      <c r="B1440" s="368"/>
      <c r="C1440" s="4"/>
      <c r="D1440" s="195"/>
      <c r="E1440" s="73">
        <f>E792+E819+E833+E844+E871+E897+E935+E940+E949+E1219+E1222+E1297+E1313+E1436</f>
        <v>117417708.53</v>
      </c>
      <c r="F1440" s="73">
        <f>F792+F819+F833+F844+F871+F897+F935+F940+F949+F1219+F1222+F1297+F1313+F1436</f>
        <v>12263746.21</v>
      </c>
      <c r="G1440" s="73">
        <f>G792+G819+G833+G844+G871+G897+G935+G940+G949+G1219+G1222+G1297+G1313+G1436</f>
        <v>127534331.63999999</v>
      </c>
      <c r="H1440" s="73">
        <f>H792+H819+H833+H844+H871+H897+H935+H940+H949+H1219+H1222+H1297+H1313+H1436</f>
        <v>11895695</v>
      </c>
      <c r="I1440" s="215">
        <f>G1440/E1440*100</f>
        <v>108.61592619772102</v>
      </c>
    </row>
    <row r="1441" spans="1:9" ht="23.25" customHeight="1">
      <c r="A1441" s="119" t="s">
        <v>353</v>
      </c>
      <c r="B1441" s="78"/>
      <c r="C1441" s="4"/>
      <c r="D1441" s="195"/>
      <c r="E1441" s="33">
        <f>E790+E1440</f>
        <v>428135862.59000003</v>
      </c>
      <c r="F1441" s="33">
        <f>F790+F1440</f>
        <v>37974442.86</v>
      </c>
      <c r="G1441" s="33">
        <f>G790+G1440</f>
        <v>383269324</v>
      </c>
      <c r="H1441" s="33">
        <f>H790+H1440</f>
        <v>35959476</v>
      </c>
      <c r="I1441" s="215">
        <f>G1441/E1441*100</f>
        <v>89.52049045399264</v>
      </c>
    </row>
    <row r="1442" spans="1:8" ht="12.75">
      <c r="A1442" s="157"/>
      <c r="B1442" s="157"/>
      <c r="C1442" s="160"/>
      <c r="D1442" s="152"/>
      <c r="E1442" s="55"/>
      <c r="F1442" s="55"/>
      <c r="G1442" s="55"/>
      <c r="H1442" s="55"/>
    </row>
  </sheetData>
  <mergeCells count="2">
    <mergeCell ref="G11:H11"/>
    <mergeCell ref="E11:F11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workbookViewId="0" topLeftCell="A97">
      <selection activeCell="K12" sqref="K12"/>
    </sheetView>
  </sheetViews>
  <sheetFormatPr defaultColWidth="9.140625" defaultRowHeight="12.75"/>
  <cols>
    <col min="1" max="1" width="4.57421875" style="212" customWidth="1"/>
    <col min="2" max="2" width="5.421875" style="22" customWidth="1"/>
    <col min="3" max="3" width="7.7109375" style="22" customWidth="1"/>
    <col min="4" max="4" width="6.00390625" style="217" customWidth="1"/>
    <col min="5" max="5" width="39.28125" style="161" customWidth="1"/>
    <col min="6" max="6" width="15.7109375" style="212" customWidth="1"/>
    <col min="7" max="7" width="16.28125" style="212" customWidth="1"/>
    <col min="8" max="8" width="15.140625" style="22" hidden="1" customWidth="1"/>
    <col min="9" max="9" width="20.8515625" style="22" customWidth="1"/>
    <col min="10" max="10" width="14.7109375" style="22" customWidth="1"/>
    <col min="11" max="16384" width="9.140625" style="22" customWidth="1"/>
  </cols>
  <sheetData>
    <row r="1" spans="1:7" ht="12.75">
      <c r="A1" s="115"/>
      <c r="B1" s="123"/>
      <c r="C1" s="123"/>
      <c r="D1" s="115"/>
      <c r="E1" s="84"/>
      <c r="F1" s="165"/>
      <c r="G1" s="165"/>
    </row>
    <row r="2" spans="1:7" ht="20.25">
      <c r="A2" s="115"/>
      <c r="B2" s="123"/>
      <c r="C2" s="123"/>
      <c r="D2" s="115"/>
      <c r="E2" s="84"/>
      <c r="F2" s="211" t="s">
        <v>106</v>
      </c>
      <c r="G2" s="164"/>
    </row>
    <row r="3" spans="1:7" ht="18.75">
      <c r="A3" s="115"/>
      <c r="B3" s="123"/>
      <c r="C3" s="123"/>
      <c r="D3" s="115"/>
      <c r="E3" s="84"/>
      <c r="F3" s="256" t="s">
        <v>201</v>
      </c>
      <c r="G3" s="164"/>
    </row>
    <row r="4" spans="1:7" ht="18.75">
      <c r="A4" s="115"/>
      <c r="B4" s="123"/>
      <c r="C4" s="123"/>
      <c r="D4" s="115"/>
      <c r="E4" s="84"/>
      <c r="F4" s="256" t="s">
        <v>202</v>
      </c>
      <c r="G4" s="164"/>
    </row>
    <row r="5" spans="1:7" ht="18.75">
      <c r="A5" s="115"/>
      <c r="B5" s="123"/>
      <c r="C5" s="123"/>
      <c r="D5" s="115"/>
      <c r="E5" s="84"/>
      <c r="F5" s="256" t="s">
        <v>203</v>
      </c>
      <c r="G5" s="164"/>
    </row>
    <row r="6" spans="1:7" ht="15.75">
      <c r="A6" s="115"/>
      <c r="B6" s="123"/>
      <c r="C6" s="123"/>
      <c r="D6" s="115"/>
      <c r="E6" s="84"/>
      <c r="F6" s="509"/>
      <c r="G6" s="165"/>
    </row>
    <row r="7" spans="1:7" ht="15.75">
      <c r="A7" s="115"/>
      <c r="B7" s="123"/>
      <c r="C7" s="123"/>
      <c r="D7" s="115"/>
      <c r="E7" s="84"/>
      <c r="F7" s="509"/>
      <c r="G7" s="165"/>
    </row>
    <row r="8" spans="1:7" ht="19.5">
      <c r="A8" s="115"/>
      <c r="B8" s="703"/>
      <c r="C8" s="865" t="s">
        <v>266</v>
      </c>
      <c r="D8" s="866"/>
      <c r="E8" s="867"/>
      <c r="F8" s="868"/>
      <c r="G8" s="868"/>
    </row>
    <row r="9" spans="1:7" ht="19.5">
      <c r="A9" s="115"/>
      <c r="B9" s="703"/>
      <c r="C9" s="865" t="s">
        <v>47</v>
      </c>
      <c r="D9" s="866"/>
      <c r="E9" s="867"/>
      <c r="F9" s="868"/>
      <c r="G9" s="869"/>
    </row>
    <row r="10" spans="1:7" ht="18.75">
      <c r="A10" s="115"/>
      <c r="B10" s="703"/>
      <c r="C10" s="701"/>
      <c r="D10" s="866"/>
      <c r="E10" s="867"/>
      <c r="F10" s="868"/>
      <c r="G10" s="868"/>
    </row>
    <row r="11" spans="1:7" ht="12.75">
      <c r="A11" s="115"/>
      <c r="B11" s="703" t="s">
        <v>307</v>
      </c>
      <c r="C11" s="870"/>
      <c r="D11" s="871"/>
      <c r="E11" s="867"/>
      <c r="F11" s="872" t="s">
        <v>308</v>
      </c>
      <c r="G11" s="872"/>
    </row>
    <row r="12" spans="1:7" ht="18.75" customHeight="1">
      <c r="A12" s="13"/>
      <c r="B12" s="873"/>
      <c r="C12" s="874"/>
      <c r="D12" s="875"/>
      <c r="E12" s="705"/>
      <c r="F12" s="876" t="s">
        <v>120</v>
      </c>
      <c r="G12" s="877"/>
    </row>
    <row r="13" spans="1:7" ht="48" customHeight="1">
      <c r="A13" s="7" t="s">
        <v>48</v>
      </c>
      <c r="B13" s="878" t="s">
        <v>309</v>
      </c>
      <c r="C13" s="879" t="s">
        <v>310</v>
      </c>
      <c r="D13" s="879" t="s">
        <v>164</v>
      </c>
      <c r="E13" s="880" t="s">
        <v>49</v>
      </c>
      <c r="F13" s="881"/>
      <c r="G13" s="490" t="s">
        <v>280</v>
      </c>
    </row>
    <row r="14" spans="1:10" ht="44.25" customHeight="1">
      <c r="A14" s="1"/>
      <c r="B14" s="882"/>
      <c r="C14" s="883"/>
      <c r="D14" s="884"/>
      <c r="E14" s="885"/>
      <c r="F14" s="886" t="s">
        <v>437</v>
      </c>
      <c r="G14" s="887" t="s">
        <v>50</v>
      </c>
      <c r="I14" s="888"/>
      <c r="J14" s="888"/>
    </row>
    <row r="15" spans="1:10" ht="21" customHeight="1">
      <c r="A15" s="13"/>
      <c r="B15" s="889" t="s">
        <v>167</v>
      </c>
      <c r="C15" s="890"/>
      <c r="D15" s="891"/>
      <c r="E15" s="892"/>
      <c r="F15" s="215">
        <f>F16+F19+F22+F27+F36+F39+F46+F49+F69+F75</f>
        <v>7072215.04</v>
      </c>
      <c r="G15" s="131">
        <f>G16+G19+G22+G27+G39+G46+G49+G69+G75</f>
        <v>1925600</v>
      </c>
      <c r="I15" s="893"/>
      <c r="J15" s="893"/>
    </row>
    <row r="16" spans="1:10" ht="23.25" customHeight="1">
      <c r="A16" s="2"/>
      <c r="B16" s="57">
        <v>600</v>
      </c>
      <c r="C16" s="57"/>
      <c r="D16" s="101"/>
      <c r="E16" s="894" t="s">
        <v>311</v>
      </c>
      <c r="F16" s="599">
        <f>F17</f>
        <v>41500</v>
      </c>
      <c r="G16" s="131">
        <f>G17</f>
        <v>0</v>
      </c>
      <c r="I16" s="895"/>
      <c r="J16" s="895"/>
    </row>
    <row r="17" spans="1:7" ht="27.75" customHeight="1">
      <c r="A17" s="1"/>
      <c r="B17" s="896"/>
      <c r="C17" s="897">
        <v>60016</v>
      </c>
      <c r="D17" s="898"/>
      <c r="E17" s="899" t="s">
        <v>51</v>
      </c>
      <c r="F17" s="900">
        <f>SUM(F18:F18)</f>
        <v>41500</v>
      </c>
      <c r="G17" s="901">
        <f>SUM(G18:G18)</f>
        <v>0</v>
      </c>
    </row>
    <row r="18" spans="1:7" s="902" customFormat="1" ht="38.25" customHeight="1">
      <c r="A18" s="1">
        <v>1</v>
      </c>
      <c r="B18" s="9"/>
      <c r="C18" s="7"/>
      <c r="D18" s="4">
        <v>6050</v>
      </c>
      <c r="E18" s="722" t="s">
        <v>52</v>
      </c>
      <c r="F18" s="117">
        <v>41500</v>
      </c>
      <c r="G18" s="95">
        <v>0</v>
      </c>
    </row>
    <row r="19" spans="1:7" ht="21.75" customHeight="1">
      <c r="A19" s="5"/>
      <c r="B19" s="57">
        <v>700</v>
      </c>
      <c r="C19" s="57"/>
      <c r="D19" s="101"/>
      <c r="E19" s="903" t="s">
        <v>372</v>
      </c>
      <c r="F19" s="904">
        <f>F20</f>
        <v>649793</v>
      </c>
      <c r="G19" s="905">
        <f>G20</f>
        <v>0</v>
      </c>
    </row>
    <row r="20" spans="1:7" ht="24.75" customHeight="1">
      <c r="A20" s="2"/>
      <c r="B20" s="102"/>
      <c r="C20" s="906">
        <v>70005</v>
      </c>
      <c r="D20" s="898"/>
      <c r="E20" s="899" t="s">
        <v>342</v>
      </c>
      <c r="F20" s="900">
        <f>SUM(F21:F21)</f>
        <v>649793</v>
      </c>
      <c r="G20" s="901">
        <f>SUM(G21:G21)</f>
        <v>0</v>
      </c>
    </row>
    <row r="21" spans="1:7" ht="27" customHeight="1">
      <c r="A21" s="2">
        <v>2</v>
      </c>
      <c r="B21" s="68"/>
      <c r="C21" s="413"/>
      <c r="D21" s="2">
        <v>6060</v>
      </c>
      <c r="E21" s="722" t="s">
        <v>53</v>
      </c>
      <c r="F21" s="907">
        <v>649793</v>
      </c>
      <c r="G21" s="907">
        <v>0</v>
      </c>
    </row>
    <row r="22" spans="1:7" ht="24.75" customHeight="1">
      <c r="A22" s="10"/>
      <c r="B22" s="57">
        <v>750</v>
      </c>
      <c r="C22" s="67"/>
      <c r="D22" s="101"/>
      <c r="E22" s="673" t="s">
        <v>344</v>
      </c>
      <c r="F22" s="908">
        <f>F23</f>
        <v>706000</v>
      </c>
      <c r="G22" s="905">
        <f>G23</f>
        <v>500000</v>
      </c>
    </row>
    <row r="23" spans="1:7" ht="30" customHeight="1">
      <c r="A23" s="2"/>
      <c r="B23" s="909"/>
      <c r="C23" s="93">
        <v>75023</v>
      </c>
      <c r="D23" s="94"/>
      <c r="E23" s="910" t="s">
        <v>424</v>
      </c>
      <c r="F23" s="911">
        <f>SUM(F24:F26)</f>
        <v>706000</v>
      </c>
      <c r="G23" s="901">
        <f>SUM(G38:G38)</f>
        <v>500000</v>
      </c>
    </row>
    <row r="24" spans="1:7" ht="29.25" customHeight="1">
      <c r="A24" s="2">
        <v>3</v>
      </c>
      <c r="B24" s="206"/>
      <c r="C24" s="92"/>
      <c r="D24" s="4">
        <v>6050</v>
      </c>
      <c r="E24" s="912" t="s">
        <v>54</v>
      </c>
      <c r="F24" s="913">
        <v>156000</v>
      </c>
      <c r="G24" s="907">
        <v>0</v>
      </c>
    </row>
    <row r="25" spans="1:7" ht="28.5" customHeight="1">
      <c r="A25" s="2">
        <v>4</v>
      </c>
      <c r="B25" s="206"/>
      <c r="C25" s="92"/>
      <c r="D25" s="4">
        <v>6050</v>
      </c>
      <c r="E25" s="912" t="s">
        <v>55</v>
      </c>
      <c r="F25" s="913">
        <v>200000</v>
      </c>
      <c r="G25" s="907">
        <v>0</v>
      </c>
    </row>
    <row r="26" spans="1:7" ht="27" customHeight="1">
      <c r="A26" s="2">
        <v>5</v>
      </c>
      <c r="B26" s="206"/>
      <c r="C26" s="92"/>
      <c r="D26" s="4">
        <v>6060</v>
      </c>
      <c r="E26" s="912" t="s">
        <v>56</v>
      </c>
      <c r="F26" s="913">
        <v>350000</v>
      </c>
      <c r="G26" s="907">
        <v>0</v>
      </c>
    </row>
    <row r="27" spans="1:7" ht="30" customHeight="1">
      <c r="A27" s="2"/>
      <c r="B27" s="57">
        <v>754</v>
      </c>
      <c r="C27" s="57"/>
      <c r="D27" s="10"/>
      <c r="E27" s="914" t="s">
        <v>345</v>
      </c>
      <c r="F27" s="905">
        <f>F28+F31+F33</f>
        <v>567500</v>
      </c>
      <c r="G27" s="905">
        <f>G28+G33</f>
        <v>0</v>
      </c>
    </row>
    <row r="28" spans="1:7" ht="28.5" customHeight="1">
      <c r="A28" s="2"/>
      <c r="B28" s="82"/>
      <c r="C28" s="102">
        <v>75412</v>
      </c>
      <c r="D28" s="24"/>
      <c r="E28" s="915" t="s">
        <v>57</v>
      </c>
      <c r="F28" s="901">
        <f>F30+F29</f>
        <v>418000</v>
      </c>
      <c r="G28" s="901">
        <f>G30</f>
        <v>0</v>
      </c>
    </row>
    <row r="29" spans="1:7" ht="39.75" customHeight="1">
      <c r="A29" s="2">
        <v>6</v>
      </c>
      <c r="B29" s="424"/>
      <c r="C29" s="102"/>
      <c r="D29" s="4">
        <v>6060</v>
      </c>
      <c r="E29" s="916" t="s">
        <v>58</v>
      </c>
      <c r="F29" s="907">
        <v>18000</v>
      </c>
      <c r="G29" s="907">
        <v>0</v>
      </c>
    </row>
    <row r="30" spans="1:7" ht="31.5" customHeight="1">
      <c r="A30" s="2">
        <v>7</v>
      </c>
      <c r="B30" s="69"/>
      <c r="C30" s="62"/>
      <c r="D30" s="4">
        <v>6230</v>
      </c>
      <c r="E30" s="916" t="s">
        <v>59</v>
      </c>
      <c r="F30" s="907">
        <v>400000</v>
      </c>
      <c r="G30" s="907">
        <v>0</v>
      </c>
    </row>
    <row r="31" spans="1:7" ht="25.5" customHeight="1">
      <c r="A31" s="2"/>
      <c r="B31" s="69"/>
      <c r="C31" s="93">
        <v>75414</v>
      </c>
      <c r="D31" s="24"/>
      <c r="E31" s="915" t="s">
        <v>60</v>
      </c>
      <c r="F31" s="911">
        <f>SUM(F32)</f>
        <v>19500</v>
      </c>
      <c r="G31" s="901">
        <f>SUM(G32)</f>
        <v>0</v>
      </c>
    </row>
    <row r="32" spans="1:7" ht="33.75" customHeight="1">
      <c r="A32" s="2">
        <v>8</v>
      </c>
      <c r="B32" s="69"/>
      <c r="C32" s="258"/>
      <c r="D32" s="917">
        <v>6060</v>
      </c>
      <c r="E32" s="451" t="s">
        <v>61</v>
      </c>
      <c r="F32" s="95">
        <v>19500</v>
      </c>
      <c r="G32" s="95">
        <v>0</v>
      </c>
    </row>
    <row r="33" spans="1:7" ht="28.5" customHeight="1">
      <c r="A33" s="2"/>
      <c r="B33" s="82"/>
      <c r="C33" s="93">
        <v>75421</v>
      </c>
      <c r="D33" s="24"/>
      <c r="E33" s="915" t="s">
        <v>365</v>
      </c>
      <c r="F33" s="911">
        <f>SUM(F34:F35)</f>
        <v>130000</v>
      </c>
      <c r="G33" s="901">
        <f>SUM(G35)</f>
        <v>0</v>
      </c>
    </row>
    <row r="34" spans="1:7" ht="35.25" customHeight="1">
      <c r="A34" s="2">
        <v>9</v>
      </c>
      <c r="B34" s="424"/>
      <c r="C34" s="102"/>
      <c r="D34" s="2">
        <v>6050</v>
      </c>
      <c r="E34" s="722" t="s">
        <v>62</v>
      </c>
      <c r="F34" s="95">
        <v>70000</v>
      </c>
      <c r="G34" s="95">
        <v>0</v>
      </c>
    </row>
    <row r="35" spans="1:7" ht="27.75" customHeight="1">
      <c r="A35" s="2">
        <v>10</v>
      </c>
      <c r="B35" s="70"/>
      <c r="C35" s="68"/>
      <c r="D35" s="917">
        <v>6050</v>
      </c>
      <c r="E35" s="722" t="s">
        <v>63</v>
      </c>
      <c r="F35" s="95">
        <v>60000</v>
      </c>
      <c r="G35" s="95">
        <v>0</v>
      </c>
    </row>
    <row r="36" spans="1:7" ht="25.5" customHeight="1">
      <c r="A36" s="2"/>
      <c r="B36" s="57">
        <v>758</v>
      </c>
      <c r="C36" s="58"/>
      <c r="D36" s="101"/>
      <c r="E36" s="903" t="s">
        <v>346</v>
      </c>
      <c r="F36" s="904">
        <f>F37</f>
        <v>1749463.04</v>
      </c>
      <c r="G36" s="905">
        <f>G37</f>
        <v>500000</v>
      </c>
    </row>
    <row r="37" spans="1:7" ht="27.75" customHeight="1">
      <c r="A37" s="2"/>
      <c r="B37" s="918"/>
      <c r="C37" s="93">
        <v>75818</v>
      </c>
      <c r="D37" s="898"/>
      <c r="E37" s="910" t="s">
        <v>347</v>
      </c>
      <c r="F37" s="911">
        <f>F38</f>
        <v>1749463.04</v>
      </c>
      <c r="G37" s="901">
        <f>G38</f>
        <v>500000</v>
      </c>
    </row>
    <row r="38" spans="1:7" ht="33.75" customHeight="1">
      <c r="A38" s="2"/>
      <c r="B38" s="69"/>
      <c r="C38" s="68"/>
      <c r="D38" s="4">
        <v>6800</v>
      </c>
      <c r="E38" s="919" t="s">
        <v>64</v>
      </c>
      <c r="F38" s="920">
        <v>1749463.04</v>
      </c>
      <c r="G38" s="95">
        <v>500000</v>
      </c>
    </row>
    <row r="39" spans="1:7" ht="24.75" customHeight="1">
      <c r="A39" s="1"/>
      <c r="B39" s="57">
        <v>801</v>
      </c>
      <c r="C39" s="921"/>
      <c r="D39" s="917"/>
      <c r="E39" s="922" t="s">
        <v>348</v>
      </c>
      <c r="F39" s="908">
        <f>F44+F40</f>
        <v>1310620</v>
      </c>
      <c r="G39" s="905">
        <f>G44+G40</f>
        <v>250000</v>
      </c>
    </row>
    <row r="40" spans="1:7" ht="24.75" customHeight="1">
      <c r="A40" s="1"/>
      <c r="B40" s="69"/>
      <c r="C40" s="102">
        <v>80101</v>
      </c>
      <c r="D40" s="94"/>
      <c r="E40" s="910" t="s">
        <v>349</v>
      </c>
      <c r="F40" s="911">
        <f>SUM(F41:F43)</f>
        <v>1305620</v>
      </c>
      <c r="G40" s="911">
        <f>SUM(G41:G43)</f>
        <v>250000</v>
      </c>
    </row>
    <row r="41" spans="1:7" ht="27.75" customHeight="1">
      <c r="A41" s="1">
        <v>11</v>
      </c>
      <c r="B41" s="69"/>
      <c r="C41" s="62"/>
      <c r="D41" s="4">
        <v>6050</v>
      </c>
      <c r="E41" s="916" t="s">
        <v>65</v>
      </c>
      <c r="F41" s="923">
        <v>20000</v>
      </c>
      <c r="G41" s="907">
        <v>0</v>
      </c>
    </row>
    <row r="42" spans="1:7" ht="29.25" customHeight="1">
      <c r="A42" s="1">
        <v>12</v>
      </c>
      <c r="B42" s="69"/>
      <c r="C42" s="61"/>
      <c r="D42" s="4">
        <v>6050</v>
      </c>
      <c r="E42" s="916" t="s">
        <v>66</v>
      </c>
      <c r="F42" s="923">
        <v>28000</v>
      </c>
      <c r="G42" s="907">
        <v>0</v>
      </c>
    </row>
    <row r="43" spans="1:7" ht="45.75" customHeight="1">
      <c r="A43" s="1">
        <v>13</v>
      </c>
      <c r="B43" s="69"/>
      <c r="C43" s="61"/>
      <c r="D43" s="4">
        <v>6050</v>
      </c>
      <c r="E43" s="916" t="s">
        <v>67</v>
      </c>
      <c r="F43" s="923">
        <v>1257620</v>
      </c>
      <c r="G43" s="907">
        <v>250000</v>
      </c>
    </row>
    <row r="44" spans="1:7" ht="25.5" customHeight="1">
      <c r="A44" s="2"/>
      <c r="B44" s="69"/>
      <c r="C44" s="93">
        <v>80110</v>
      </c>
      <c r="D44" s="898"/>
      <c r="E44" s="899" t="s">
        <v>350</v>
      </c>
      <c r="F44" s="900">
        <f>F45</f>
        <v>5000</v>
      </c>
      <c r="G44" s="901">
        <f>G45</f>
        <v>0</v>
      </c>
    </row>
    <row r="45" spans="1:7" ht="67.5" customHeight="1">
      <c r="A45" s="2">
        <v>14</v>
      </c>
      <c r="B45" s="69"/>
      <c r="C45" s="61"/>
      <c r="D45" s="924">
        <v>6050</v>
      </c>
      <c r="E45" s="916" t="s">
        <v>68</v>
      </c>
      <c r="F45" s="925">
        <v>5000</v>
      </c>
      <c r="G45" s="907">
        <v>0</v>
      </c>
    </row>
    <row r="46" spans="1:7" ht="29.25" customHeight="1">
      <c r="A46" s="2"/>
      <c r="B46" s="58">
        <v>853</v>
      </c>
      <c r="C46" s="258"/>
      <c r="D46" s="12"/>
      <c r="E46" s="903" t="s">
        <v>439</v>
      </c>
      <c r="F46" s="904">
        <f>F47</f>
        <v>250000</v>
      </c>
      <c r="G46" s="905">
        <f>G47</f>
        <v>0</v>
      </c>
    </row>
    <row r="47" spans="1:7" ht="29.25" customHeight="1">
      <c r="A47" s="917"/>
      <c r="B47" s="58"/>
      <c r="C47" s="906">
        <v>85395</v>
      </c>
      <c r="D47" s="926"/>
      <c r="E47" s="899" t="s">
        <v>535</v>
      </c>
      <c r="F47" s="900">
        <f>F48</f>
        <v>250000</v>
      </c>
      <c r="G47" s="901">
        <f>G48</f>
        <v>0</v>
      </c>
    </row>
    <row r="48" spans="1:7" ht="35.25" customHeight="1">
      <c r="A48" s="917">
        <v>15</v>
      </c>
      <c r="B48" s="67"/>
      <c r="C48" s="896"/>
      <c r="D48" s="12">
        <v>6010</v>
      </c>
      <c r="E48" s="451" t="s">
        <v>69</v>
      </c>
      <c r="F48" s="117">
        <v>250000</v>
      </c>
      <c r="G48" s="95">
        <v>0</v>
      </c>
    </row>
    <row r="49" spans="1:7" ht="30" customHeight="1">
      <c r="A49" s="10"/>
      <c r="B49" s="67">
        <v>900</v>
      </c>
      <c r="C49" s="57"/>
      <c r="D49" s="101"/>
      <c r="E49" s="903" t="s">
        <v>351</v>
      </c>
      <c r="F49" s="904">
        <f>F50+F53</f>
        <v>1569669</v>
      </c>
      <c r="G49" s="905">
        <f>G50+G53</f>
        <v>1175600</v>
      </c>
    </row>
    <row r="50" spans="1:7" ht="30" customHeight="1">
      <c r="A50" s="10"/>
      <c r="B50" s="66"/>
      <c r="C50" s="92">
        <v>90002</v>
      </c>
      <c r="D50" s="94"/>
      <c r="E50" s="899" t="s">
        <v>121</v>
      </c>
      <c r="F50" s="900">
        <f>SUM(F51:F52)</f>
        <v>42000</v>
      </c>
      <c r="G50" s="901">
        <f>SUM(G51:G52)</f>
        <v>42000</v>
      </c>
    </row>
    <row r="51" spans="1:7" ht="42.75" customHeight="1">
      <c r="A51" s="2">
        <v>16</v>
      </c>
      <c r="B51" s="66"/>
      <c r="C51" s="58"/>
      <c r="D51" s="4">
        <v>6220</v>
      </c>
      <c r="E51" s="912" t="s">
        <v>70</v>
      </c>
      <c r="F51" s="927">
        <v>12000</v>
      </c>
      <c r="G51" s="928">
        <v>12000</v>
      </c>
    </row>
    <row r="52" spans="1:7" ht="39.75" customHeight="1">
      <c r="A52" s="2">
        <v>17</v>
      </c>
      <c r="B52" s="66"/>
      <c r="C52" s="67"/>
      <c r="D52" s="4">
        <v>6230</v>
      </c>
      <c r="E52" s="929" t="s">
        <v>70</v>
      </c>
      <c r="F52" s="927">
        <v>30000</v>
      </c>
      <c r="G52" s="928">
        <v>30000</v>
      </c>
    </row>
    <row r="53" spans="1:7" ht="26.25" customHeight="1">
      <c r="A53" s="2" t="s">
        <v>307</v>
      </c>
      <c r="B53" s="92"/>
      <c r="C53" s="93">
        <v>90095</v>
      </c>
      <c r="D53" s="94"/>
      <c r="E53" s="899" t="s">
        <v>343</v>
      </c>
      <c r="F53" s="900">
        <f>SUM(F54:F68)</f>
        <v>1527669</v>
      </c>
      <c r="G53" s="901">
        <f>SUM(G54:G68)</f>
        <v>1133600</v>
      </c>
    </row>
    <row r="54" spans="1:7" s="216" customFormat="1" ht="46.5" customHeight="1">
      <c r="A54" s="13">
        <v>18</v>
      </c>
      <c r="B54" s="413"/>
      <c r="C54" s="61"/>
      <c r="D54" s="4">
        <v>6010</v>
      </c>
      <c r="E54" s="722" t="s">
        <v>71</v>
      </c>
      <c r="F54" s="925">
        <v>30000</v>
      </c>
      <c r="G54" s="907">
        <v>0</v>
      </c>
    </row>
    <row r="55" spans="1:7" s="216" customFormat="1" ht="46.5" customHeight="1">
      <c r="A55" s="13">
        <v>19</v>
      </c>
      <c r="B55" s="413"/>
      <c r="C55" s="61"/>
      <c r="D55" s="4">
        <v>6010</v>
      </c>
      <c r="E55" s="912" t="s">
        <v>72</v>
      </c>
      <c r="F55" s="925">
        <v>190000</v>
      </c>
      <c r="G55" s="907">
        <v>152000</v>
      </c>
    </row>
    <row r="56" spans="1:7" s="216" customFormat="1" ht="45.75" customHeight="1">
      <c r="A56" s="13">
        <v>20</v>
      </c>
      <c r="B56" s="413"/>
      <c r="C56" s="61"/>
      <c r="D56" s="917">
        <v>6010</v>
      </c>
      <c r="E56" s="912" t="s">
        <v>73</v>
      </c>
      <c r="F56" s="925">
        <v>19600</v>
      </c>
      <c r="G56" s="907">
        <v>19600</v>
      </c>
    </row>
    <row r="57" spans="1:7" s="216" customFormat="1" ht="51.75" customHeight="1">
      <c r="A57" s="13">
        <v>21</v>
      </c>
      <c r="B57" s="413"/>
      <c r="C57" s="61"/>
      <c r="D57" s="4">
        <v>6010</v>
      </c>
      <c r="E57" s="930" t="s">
        <v>74</v>
      </c>
      <c r="F57" s="925">
        <v>110000</v>
      </c>
      <c r="G57" s="907">
        <v>78000</v>
      </c>
    </row>
    <row r="58" spans="1:7" s="216" customFormat="1" ht="36" customHeight="1">
      <c r="A58" s="13">
        <v>22</v>
      </c>
      <c r="B58" s="413"/>
      <c r="C58" s="61"/>
      <c r="D58" s="4">
        <v>6010</v>
      </c>
      <c r="E58" s="930" t="s">
        <v>75</v>
      </c>
      <c r="F58" s="925">
        <v>94000</v>
      </c>
      <c r="G58" s="907">
        <v>94000</v>
      </c>
    </row>
    <row r="59" spans="1:7" s="216" customFormat="1" ht="40.5" customHeight="1">
      <c r="A59" s="13">
        <v>23</v>
      </c>
      <c r="B59" s="413"/>
      <c r="C59" s="61"/>
      <c r="D59" s="4">
        <v>6010</v>
      </c>
      <c r="E59" s="930" t="s">
        <v>76</v>
      </c>
      <c r="F59" s="925">
        <v>70000</v>
      </c>
      <c r="G59" s="907">
        <v>0</v>
      </c>
    </row>
    <row r="60" spans="1:7" s="216" customFormat="1" ht="42" customHeight="1">
      <c r="A60" s="13">
        <v>24</v>
      </c>
      <c r="B60" s="413"/>
      <c r="C60" s="61"/>
      <c r="D60" s="4">
        <v>6010</v>
      </c>
      <c r="E60" s="930" t="s">
        <v>77</v>
      </c>
      <c r="F60" s="925">
        <v>30000</v>
      </c>
      <c r="G60" s="907">
        <v>0</v>
      </c>
    </row>
    <row r="61" spans="1:7" s="216" customFormat="1" ht="50.25" customHeight="1">
      <c r="A61" s="13">
        <v>25</v>
      </c>
      <c r="B61" s="413"/>
      <c r="C61" s="61"/>
      <c r="D61" s="4">
        <v>6010</v>
      </c>
      <c r="E61" s="930" t="s">
        <v>78</v>
      </c>
      <c r="F61" s="925">
        <v>62000</v>
      </c>
      <c r="G61" s="907">
        <v>40000</v>
      </c>
    </row>
    <row r="62" spans="1:7" s="216" customFormat="1" ht="29.25" customHeight="1">
      <c r="A62" s="13">
        <v>26</v>
      </c>
      <c r="B62" s="413"/>
      <c r="C62" s="61"/>
      <c r="D62" s="4">
        <v>6050</v>
      </c>
      <c r="E62" s="722" t="s">
        <v>79</v>
      </c>
      <c r="F62" s="925">
        <v>92989</v>
      </c>
      <c r="G62" s="907">
        <v>0</v>
      </c>
    </row>
    <row r="63" spans="1:7" s="216" customFormat="1" ht="27.75" customHeight="1">
      <c r="A63" s="13">
        <v>27</v>
      </c>
      <c r="B63" s="413"/>
      <c r="C63" s="61"/>
      <c r="D63" s="4">
        <v>6050</v>
      </c>
      <c r="E63" s="916" t="s">
        <v>80</v>
      </c>
      <c r="F63" s="925">
        <v>25000</v>
      </c>
      <c r="G63" s="907">
        <v>0</v>
      </c>
    </row>
    <row r="64" spans="1:7" ht="35.25" customHeight="1">
      <c r="A64" s="13">
        <v>28</v>
      </c>
      <c r="B64" s="931"/>
      <c r="C64" s="92"/>
      <c r="D64" s="4">
        <v>6050</v>
      </c>
      <c r="E64" s="916" t="s">
        <v>81</v>
      </c>
      <c r="F64" s="925">
        <v>24090</v>
      </c>
      <c r="G64" s="907">
        <v>0</v>
      </c>
    </row>
    <row r="65" spans="1:7" ht="40.5" customHeight="1">
      <c r="A65" s="2">
        <v>29</v>
      </c>
      <c r="B65" s="931"/>
      <c r="C65" s="92"/>
      <c r="D65" s="4">
        <v>6050</v>
      </c>
      <c r="E65" s="916" t="s">
        <v>82</v>
      </c>
      <c r="F65" s="925">
        <v>29990</v>
      </c>
      <c r="G65" s="907">
        <v>0</v>
      </c>
    </row>
    <row r="66" spans="1:7" ht="35.25" customHeight="1">
      <c r="A66" s="2">
        <v>30</v>
      </c>
      <c r="B66" s="931"/>
      <c r="C66" s="92"/>
      <c r="D66" s="4">
        <v>6050</v>
      </c>
      <c r="E66" s="722" t="s">
        <v>83</v>
      </c>
      <c r="F66" s="925">
        <v>200000</v>
      </c>
      <c r="G66" s="907">
        <v>200000</v>
      </c>
    </row>
    <row r="67" spans="1:7" ht="55.5" customHeight="1">
      <c r="A67" s="2">
        <v>31</v>
      </c>
      <c r="B67" s="931"/>
      <c r="C67" s="92"/>
      <c r="D67" s="4">
        <v>6230</v>
      </c>
      <c r="E67" s="722" t="s">
        <v>84</v>
      </c>
      <c r="F67" s="925">
        <v>50000</v>
      </c>
      <c r="G67" s="907">
        <v>50000</v>
      </c>
    </row>
    <row r="68" spans="1:7" ht="41.25" customHeight="1">
      <c r="A68" s="2">
        <v>32</v>
      </c>
      <c r="B68" s="931"/>
      <c r="C68" s="92"/>
      <c r="D68" s="4">
        <v>6230</v>
      </c>
      <c r="E68" s="929" t="s">
        <v>85</v>
      </c>
      <c r="F68" s="925">
        <v>500000</v>
      </c>
      <c r="G68" s="928">
        <v>500000</v>
      </c>
    </row>
    <row r="69" spans="1:7" s="935" customFormat="1" ht="33" customHeight="1">
      <c r="A69" s="10"/>
      <c r="B69" s="60">
        <v>921</v>
      </c>
      <c r="C69" s="60"/>
      <c r="D69" s="10"/>
      <c r="E69" s="932" t="s">
        <v>571</v>
      </c>
      <c r="F69" s="933">
        <f>F70+F73</f>
        <v>134670</v>
      </c>
      <c r="G69" s="934">
        <f>G70</f>
        <v>0</v>
      </c>
    </row>
    <row r="70" spans="1:7" s="941" customFormat="1" ht="32.25" customHeight="1">
      <c r="A70" s="32" t="s">
        <v>307</v>
      </c>
      <c r="B70" s="159"/>
      <c r="C70" s="936">
        <v>92109</v>
      </c>
      <c r="D70" s="937"/>
      <c r="E70" s="938" t="s">
        <v>431</v>
      </c>
      <c r="F70" s="939">
        <f>F71+F72</f>
        <v>119670</v>
      </c>
      <c r="G70" s="940">
        <f>G80</f>
        <v>0</v>
      </c>
    </row>
    <row r="71" spans="1:7" s="941" customFormat="1" ht="42.75" customHeight="1">
      <c r="A71" s="2">
        <v>33</v>
      </c>
      <c r="B71" s="159"/>
      <c r="C71" s="396"/>
      <c r="D71" s="917">
        <v>6050</v>
      </c>
      <c r="E71" s="929" t="s">
        <v>86</v>
      </c>
      <c r="F71" s="927">
        <v>26000</v>
      </c>
      <c r="G71" s="928">
        <v>0</v>
      </c>
    </row>
    <row r="72" spans="1:7" s="941" customFormat="1" ht="27" customHeight="1">
      <c r="A72" s="2">
        <v>34</v>
      </c>
      <c r="B72" s="159"/>
      <c r="C72" s="396"/>
      <c r="D72" s="917">
        <v>6220</v>
      </c>
      <c r="E72" s="929" t="s">
        <v>87</v>
      </c>
      <c r="F72" s="927">
        <v>93670</v>
      </c>
      <c r="G72" s="928">
        <v>0</v>
      </c>
    </row>
    <row r="73" spans="1:7" s="941" customFormat="1" ht="28.5" customHeight="1">
      <c r="A73" s="7"/>
      <c r="B73" s="159"/>
      <c r="C73" s="936">
        <v>92195</v>
      </c>
      <c r="D73" s="937"/>
      <c r="E73" s="938" t="s">
        <v>343</v>
      </c>
      <c r="F73" s="939">
        <f>F74</f>
        <v>15000</v>
      </c>
      <c r="G73" s="940">
        <f>G80</f>
        <v>0</v>
      </c>
    </row>
    <row r="74" spans="1:7" s="941" customFormat="1" ht="28.5" customHeight="1">
      <c r="A74" s="2">
        <v>35</v>
      </c>
      <c r="B74" s="159"/>
      <c r="C74" s="396"/>
      <c r="D74" s="917">
        <v>6050</v>
      </c>
      <c r="E74" s="916" t="s">
        <v>88</v>
      </c>
      <c r="F74" s="927">
        <v>15000</v>
      </c>
      <c r="G74" s="928">
        <v>0</v>
      </c>
    </row>
    <row r="75" spans="1:7" s="941" customFormat="1" ht="24" customHeight="1">
      <c r="A75" s="7"/>
      <c r="B75" s="60">
        <v>926</v>
      </c>
      <c r="C75" s="60"/>
      <c r="D75" s="10"/>
      <c r="E75" s="932" t="s">
        <v>89</v>
      </c>
      <c r="F75" s="933">
        <f>F76+F78</f>
        <v>93000</v>
      </c>
      <c r="G75" s="934">
        <f>G76+G78</f>
        <v>0</v>
      </c>
    </row>
    <row r="76" spans="1:7" s="941" customFormat="1" ht="28.5" customHeight="1">
      <c r="A76" s="7"/>
      <c r="B76" s="159"/>
      <c r="C76" s="936">
        <v>92601</v>
      </c>
      <c r="D76" s="937"/>
      <c r="E76" s="938" t="s">
        <v>251</v>
      </c>
      <c r="F76" s="939">
        <f>F77</f>
        <v>33500</v>
      </c>
      <c r="G76" s="940">
        <f>G77</f>
        <v>0</v>
      </c>
    </row>
    <row r="77" spans="1:7" s="941" customFormat="1" ht="40.5" customHeight="1">
      <c r="A77" s="2">
        <v>36</v>
      </c>
      <c r="B77" s="159"/>
      <c r="C77" s="396"/>
      <c r="D77" s="942">
        <v>6050</v>
      </c>
      <c r="E77" s="916" t="s">
        <v>90</v>
      </c>
      <c r="F77" s="943">
        <v>33500</v>
      </c>
      <c r="G77" s="944">
        <v>0</v>
      </c>
    </row>
    <row r="78" spans="1:7" s="941" customFormat="1" ht="28.5" customHeight="1">
      <c r="A78" s="2"/>
      <c r="B78" s="159"/>
      <c r="C78" s="936">
        <v>92604</v>
      </c>
      <c r="D78" s="942"/>
      <c r="E78" s="938" t="s">
        <v>116</v>
      </c>
      <c r="F78" s="939">
        <f>F79+F80</f>
        <v>59500</v>
      </c>
      <c r="G78" s="940">
        <f>G79+G80</f>
        <v>0</v>
      </c>
    </row>
    <row r="79" spans="1:7" s="941" customFormat="1" ht="28.5" customHeight="1">
      <c r="A79" s="2">
        <v>37</v>
      </c>
      <c r="B79" s="159"/>
      <c r="C79" s="396"/>
      <c r="D79" s="942">
        <v>6050</v>
      </c>
      <c r="E79" s="916" t="s">
        <v>91</v>
      </c>
      <c r="F79" s="943">
        <v>29600</v>
      </c>
      <c r="G79" s="944">
        <v>0</v>
      </c>
    </row>
    <row r="80" spans="1:7" ht="48" customHeight="1">
      <c r="A80" s="2">
        <v>38</v>
      </c>
      <c r="B80" s="157"/>
      <c r="C80" s="510"/>
      <c r="D80" s="917">
        <v>6060</v>
      </c>
      <c r="E80" s="916" t="s">
        <v>92</v>
      </c>
      <c r="F80" s="927">
        <v>29900</v>
      </c>
      <c r="G80" s="928">
        <v>0</v>
      </c>
    </row>
    <row r="81" spans="1:10" ht="30" customHeight="1">
      <c r="A81" s="2"/>
      <c r="B81" s="269" t="s">
        <v>168</v>
      </c>
      <c r="C81" s="270"/>
      <c r="D81" s="917"/>
      <c r="E81" s="945"/>
      <c r="F81" s="131">
        <f>F82+F92+F95+F100+F103</f>
        <v>16090000</v>
      </c>
      <c r="G81" s="131">
        <f>G82+G95+G100+G103</f>
        <v>5050071</v>
      </c>
      <c r="J81" s="888"/>
    </row>
    <row r="82" spans="1:10" ht="26.25" customHeight="1">
      <c r="A82" s="10"/>
      <c r="B82" s="57">
        <v>600</v>
      </c>
      <c r="C82" s="57"/>
      <c r="D82" s="101"/>
      <c r="E82" s="903" t="s">
        <v>311</v>
      </c>
      <c r="F82" s="904">
        <f>F83+F85</f>
        <v>13341000</v>
      </c>
      <c r="G82" s="905">
        <f>G85</f>
        <v>4450000</v>
      </c>
      <c r="J82" s="895"/>
    </row>
    <row r="83" spans="1:10" ht="26.25" customHeight="1">
      <c r="A83" s="10"/>
      <c r="B83" s="946"/>
      <c r="C83" s="93">
        <v>60013</v>
      </c>
      <c r="D83" s="898"/>
      <c r="E83" s="899" t="s">
        <v>178</v>
      </c>
      <c r="F83" s="900">
        <f>F84</f>
        <v>250000</v>
      </c>
      <c r="G83" s="901">
        <f>G84</f>
        <v>0</v>
      </c>
      <c r="J83" s="895"/>
    </row>
    <row r="84" spans="1:10" ht="56.25" customHeight="1">
      <c r="A84" s="2">
        <v>39</v>
      </c>
      <c r="B84" s="946"/>
      <c r="C84" s="897"/>
      <c r="D84" s="4">
        <v>6300</v>
      </c>
      <c r="E84" s="722" t="s">
        <v>93</v>
      </c>
      <c r="F84" s="117">
        <v>250000</v>
      </c>
      <c r="G84" s="95">
        <v>0</v>
      </c>
      <c r="J84" s="895"/>
    </row>
    <row r="85" spans="1:7" ht="27" customHeight="1">
      <c r="A85" s="2"/>
      <c r="B85" s="92"/>
      <c r="C85" s="897">
        <v>60015</v>
      </c>
      <c r="D85" s="898"/>
      <c r="E85" s="899" t="s">
        <v>94</v>
      </c>
      <c r="F85" s="900">
        <f>SUM(F86:F91)</f>
        <v>13091000</v>
      </c>
      <c r="G85" s="901">
        <f>SUM(G87:G91)</f>
        <v>4450000</v>
      </c>
    </row>
    <row r="86" spans="1:7" ht="24.75" customHeight="1">
      <c r="A86" s="2">
        <v>40</v>
      </c>
      <c r="B86" s="206"/>
      <c r="C86" s="92"/>
      <c r="D86" s="4">
        <v>6050</v>
      </c>
      <c r="E86" s="722" t="s">
        <v>95</v>
      </c>
      <c r="F86" s="117">
        <v>2000000</v>
      </c>
      <c r="G86" s="95">
        <v>700000</v>
      </c>
    </row>
    <row r="87" spans="1:10" s="161" customFormat="1" ht="34.5" customHeight="1">
      <c r="A87" s="2">
        <v>41</v>
      </c>
      <c r="B87" s="70"/>
      <c r="C87" s="61"/>
      <c r="D87" s="4">
        <v>6050</v>
      </c>
      <c r="E87" s="912" t="s">
        <v>96</v>
      </c>
      <c r="F87" s="947">
        <v>9591000</v>
      </c>
      <c r="G87" s="928">
        <v>4300000</v>
      </c>
      <c r="J87" s="948"/>
    </row>
    <row r="88" spans="1:10" s="161" customFormat="1" ht="33.75" customHeight="1">
      <c r="A88" s="2">
        <v>42</v>
      </c>
      <c r="B88" s="70"/>
      <c r="C88" s="61"/>
      <c r="D88" s="4">
        <v>6050</v>
      </c>
      <c r="E88" s="451" t="s">
        <v>97</v>
      </c>
      <c r="F88" s="95">
        <v>500000</v>
      </c>
      <c r="G88" s="928">
        <v>150000</v>
      </c>
      <c r="J88" s="948"/>
    </row>
    <row r="89" spans="1:10" s="161" customFormat="1" ht="30" customHeight="1">
      <c r="A89" s="2">
        <v>43</v>
      </c>
      <c r="B89" s="70"/>
      <c r="C89" s="61"/>
      <c r="D89" s="4">
        <v>6050</v>
      </c>
      <c r="E89" s="949" t="s">
        <v>98</v>
      </c>
      <c r="F89" s="928">
        <v>800000</v>
      </c>
      <c r="G89" s="928">
        <v>0</v>
      </c>
      <c r="J89" s="948"/>
    </row>
    <row r="90" spans="1:10" s="161" customFormat="1" ht="27.75" customHeight="1">
      <c r="A90" s="2">
        <v>44</v>
      </c>
      <c r="B90" s="70"/>
      <c r="C90" s="61"/>
      <c r="D90" s="4">
        <v>6060</v>
      </c>
      <c r="E90" s="722" t="s">
        <v>99</v>
      </c>
      <c r="F90" s="928">
        <v>20000</v>
      </c>
      <c r="G90" s="928">
        <v>0</v>
      </c>
      <c r="J90" s="948"/>
    </row>
    <row r="91" spans="1:10" s="161" customFormat="1" ht="28.5" customHeight="1">
      <c r="A91" s="2">
        <v>45</v>
      </c>
      <c r="B91" s="70"/>
      <c r="C91" s="61"/>
      <c r="D91" s="4">
        <v>6060</v>
      </c>
      <c r="E91" s="722" t="s">
        <v>100</v>
      </c>
      <c r="F91" s="928">
        <v>180000</v>
      </c>
      <c r="G91" s="928">
        <v>0</v>
      </c>
      <c r="J91" s="948"/>
    </row>
    <row r="92" spans="1:10" s="161" customFormat="1" ht="34.5" customHeight="1">
      <c r="A92" s="2"/>
      <c r="B92" s="59">
        <v>710</v>
      </c>
      <c r="C92" s="57"/>
      <c r="D92" s="11"/>
      <c r="E92" s="950" t="s">
        <v>352</v>
      </c>
      <c r="F92" s="934">
        <f>F93</f>
        <v>20000</v>
      </c>
      <c r="G92" s="934">
        <f>G93</f>
        <v>0</v>
      </c>
      <c r="J92" s="948"/>
    </row>
    <row r="93" spans="1:10" s="161" customFormat="1" ht="29.25" customHeight="1">
      <c r="A93" s="2"/>
      <c r="B93" s="206"/>
      <c r="C93" s="93">
        <v>71012</v>
      </c>
      <c r="D93" s="951"/>
      <c r="E93" s="952" t="s">
        <v>407</v>
      </c>
      <c r="F93" s="940">
        <f>SUM(F94:F94)</f>
        <v>20000</v>
      </c>
      <c r="G93" s="940">
        <f>SUM(G94:G94)</f>
        <v>0</v>
      </c>
      <c r="J93" s="948"/>
    </row>
    <row r="94" spans="1:10" s="161" customFormat="1" ht="29.25" customHeight="1">
      <c r="A94" s="2">
        <v>46</v>
      </c>
      <c r="B94" s="70"/>
      <c r="C94" s="61"/>
      <c r="D94" s="4">
        <v>6060</v>
      </c>
      <c r="E94" s="912" t="s">
        <v>101</v>
      </c>
      <c r="F94" s="928">
        <v>20000</v>
      </c>
      <c r="G94" s="928">
        <v>0</v>
      </c>
      <c r="J94" s="948"/>
    </row>
    <row r="95" spans="1:7" s="953" customFormat="1" ht="33.75" customHeight="1">
      <c r="A95" s="2"/>
      <c r="B95" s="57">
        <v>754</v>
      </c>
      <c r="C95" s="57"/>
      <c r="D95" s="10"/>
      <c r="E95" s="922" t="s">
        <v>345</v>
      </c>
      <c r="F95" s="905">
        <f>F98+F96</f>
        <v>900000</v>
      </c>
      <c r="G95" s="905">
        <f>G98+G96</f>
        <v>0</v>
      </c>
    </row>
    <row r="96" spans="1:7" s="953" customFormat="1" ht="28.5" customHeight="1">
      <c r="A96" s="2"/>
      <c r="B96" s="66"/>
      <c r="C96" s="93">
        <v>75405</v>
      </c>
      <c r="D96" s="937"/>
      <c r="E96" s="910" t="s">
        <v>102</v>
      </c>
      <c r="F96" s="954">
        <f>F97</f>
        <v>500000</v>
      </c>
      <c r="G96" s="954">
        <f>G97</f>
        <v>0</v>
      </c>
    </row>
    <row r="97" spans="1:7" s="953" customFormat="1" ht="38.25" customHeight="1">
      <c r="A97" s="2">
        <v>47</v>
      </c>
      <c r="B97" s="66"/>
      <c r="C97" s="258"/>
      <c r="D97" s="942">
        <v>6170</v>
      </c>
      <c r="E97" s="919" t="s">
        <v>103</v>
      </c>
      <c r="F97" s="907">
        <v>500000</v>
      </c>
      <c r="G97" s="907">
        <v>0</v>
      </c>
    </row>
    <row r="98" spans="1:7" s="953" customFormat="1" ht="31.5" customHeight="1">
      <c r="A98" s="2"/>
      <c r="B98" s="92"/>
      <c r="C98" s="93">
        <v>75411</v>
      </c>
      <c r="D98" s="937"/>
      <c r="E98" s="910" t="s">
        <v>371</v>
      </c>
      <c r="F98" s="901">
        <f>F99</f>
        <v>400000</v>
      </c>
      <c r="G98" s="901">
        <f>G99</f>
        <v>0</v>
      </c>
    </row>
    <row r="99" spans="1:7" s="955" customFormat="1" ht="71.25" customHeight="1">
      <c r="A99" s="2">
        <v>48</v>
      </c>
      <c r="B99" s="61"/>
      <c r="C99" s="407"/>
      <c r="D99" s="924">
        <v>6050</v>
      </c>
      <c r="E99" s="722" t="s">
        <v>104</v>
      </c>
      <c r="F99" s="907">
        <v>400000</v>
      </c>
      <c r="G99" s="907">
        <v>0</v>
      </c>
    </row>
    <row r="100" spans="1:7" s="953" customFormat="1" ht="27" customHeight="1">
      <c r="A100" s="7"/>
      <c r="B100" s="57">
        <v>758</v>
      </c>
      <c r="C100" s="57"/>
      <c r="D100" s="101"/>
      <c r="E100" s="903" t="s">
        <v>346</v>
      </c>
      <c r="F100" s="904">
        <f>F101</f>
        <v>1800000</v>
      </c>
      <c r="G100" s="905">
        <f>G101</f>
        <v>600071</v>
      </c>
    </row>
    <row r="101" spans="1:7" s="953" customFormat="1" ht="27.75" customHeight="1">
      <c r="A101" s="7"/>
      <c r="B101" s="956"/>
      <c r="C101" s="957">
        <v>75818</v>
      </c>
      <c r="D101" s="94"/>
      <c r="E101" s="910" t="s">
        <v>347</v>
      </c>
      <c r="F101" s="911">
        <f>F102</f>
        <v>1800000</v>
      </c>
      <c r="G101" s="901">
        <f>G102</f>
        <v>600071</v>
      </c>
    </row>
    <row r="102" spans="1:7" s="953" customFormat="1" ht="26.25" customHeight="1">
      <c r="A102" s="7"/>
      <c r="B102" s="66"/>
      <c r="C102" s="407"/>
      <c r="D102" s="917">
        <v>6800</v>
      </c>
      <c r="E102" s="919" t="s">
        <v>64</v>
      </c>
      <c r="F102" s="920">
        <v>1800000</v>
      </c>
      <c r="G102" s="95">
        <v>600071</v>
      </c>
    </row>
    <row r="103" spans="1:7" s="953" customFormat="1" ht="23.25" customHeight="1">
      <c r="A103" s="7"/>
      <c r="B103" s="57">
        <v>801</v>
      </c>
      <c r="C103" s="57"/>
      <c r="D103" s="10"/>
      <c r="E103" s="914" t="s">
        <v>348</v>
      </c>
      <c r="F103" s="904">
        <f>F104</f>
        <v>29000</v>
      </c>
      <c r="G103" s="905">
        <f>G104</f>
        <v>0</v>
      </c>
    </row>
    <row r="104" spans="1:7" s="953" customFormat="1" ht="23.25" customHeight="1">
      <c r="A104" s="2"/>
      <c r="B104" s="407"/>
      <c r="C104" s="896">
        <v>80130</v>
      </c>
      <c r="D104" s="24"/>
      <c r="E104" s="915" t="s">
        <v>416</v>
      </c>
      <c r="F104" s="900">
        <f>F105</f>
        <v>29000</v>
      </c>
      <c r="G104" s="901">
        <f>G105</f>
        <v>0</v>
      </c>
    </row>
    <row r="105" spans="1:7" s="953" customFormat="1" ht="46.5" customHeight="1">
      <c r="A105" s="2">
        <v>49</v>
      </c>
      <c r="B105" s="413"/>
      <c r="C105" s="102"/>
      <c r="D105" s="8">
        <v>6050</v>
      </c>
      <c r="E105" s="916" t="s">
        <v>105</v>
      </c>
      <c r="F105" s="925">
        <v>29000</v>
      </c>
      <c r="G105" s="907">
        <v>0</v>
      </c>
    </row>
    <row r="106" spans="1:10" ht="28.5" customHeight="1">
      <c r="A106" s="10"/>
      <c r="B106" s="587" t="s">
        <v>214</v>
      </c>
      <c r="C106" s="958"/>
      <c r="D106" s="14"/>
      <c r="E106" s="959"/>
      <c r="F106" s="131">
        <f>F15+F81</f>
        <v>23162215.04</v>
      </c>
      <c r="G106" s="131">
        <f>G15+G81</f>
        <v>6975671</v>
      </c>
      <c r="I106" s="893"/>
      <c r="J106" s="893"/>
    </row>
    <row r="107" spans="1:10" ht="21.75" customHeight="1">
      <c r="A107" s="115"/>
      <c r="B107" s="56"/>
      <c r="C107" s="56"/>
      <c r="D107" s="115"/>
      <c r="F107" s="947"/>
      <c r="G107" s="947"/>
      <c r="I107" s="895"/>
      <c r="J107" s="895"/>
    </row>
    <row r="108" spans="1:10" ht="15" customHeight="1">
      <c r="A108" s="115"/>
      <c r="B108" s="123"/>
      <c r="C108" s="123"/>
      <c r="D108" s="115"/>
      <c r="F108" s="960"/>
      <c r="G108" s="960"/>
      <c r="I108" s="430"/>
      <c r="J108" s="961"/>
    </row>
    <row r="109" spans="1:10" ht="12.75">
      <c r="A109" s="115"/>
      <c r="B109" s="123"/>
      <c r="C109" s="123"/>
      <c r="D109" s="115"/>
      <c r="F109" s="960"/>
      <c r="G109" s="960"/>
      <c r="H109" s="430"/>
      <c r="I109" s="430"/>
      <c r="J109" s="430"/>
    </row>
    <row r="110" spans="6:10" ht="12.75">
      <c r="F110" s="960"/>
      <c r="G110" s="960"/>
      <c r="I110" s="430"/>
      <c r="J110" s="430"/>
    </row>
    <row r="111" spans="6:10" ht="12.75">
      <c r="F111" s="960"/>
      <c r="G111" s="960"/>
      <c r="I111" s="430"/>
      <c r="J111" s="430"/>
    </row>
    <row r="112" spans="6:10" ht="12.75">
      <c r="F112" s="960"/>
      <c r="G112" s="960"/>
      <c r="I112" s="430"/>
      <c r="J112" s="430"/>
    </row>
    <row r="113" spans="6:10" ht="12.75">
      <c r="F113" s="960"/>
      <c r="G113" s="960"/>
      <c r="I113" s="430"/>
      <c r="J113" s="430"/>
    </row>
    <row r="114" spans="6:10" ht="12.75">
      <c r="F114" s="962"/>
      <c r="G114" s="960"/>
      <c r="I114" s="430"/>
      <c r="J114" s="430"/>
    </row>
    <row r="115" spans="6:7" ht="12.75">
      <c r="F115" s="962"/>
      <c r="G115" s="960"/>
    </row>
    <row r="116" spans="6:7" ht="12.75">
      <c r="F116" s="960"/>
      <c r="G116" s="960"/>
    </row>
    <row r="117" spans="6:7" ht="12.75">
      <c r="F117" s="960"/>
      <c r="G117" s="960"/>
    </row>
    <row r="118" spans="6:7" ht="12.75">
      <c r="F118" s="960"/>
      <c r="G118" s="960"/>
    </row>
    <row r="119" ht="12.75">
      <c r="F119" s="960"/>
    </row>
    <row r="120" ht="12.75">
      <c r="F120" s="960"/>
    </row>
    <row r="121" ht="12.75">
      <c r="F121" s="960"/>
    </row>
    <row r="122" spans="6:7" ht="12.75">
      <c r="F122" s="960"/>
      <c r="G122" s="960"/>
    </row>
    <row r="123" ht="12.75">
      <c r="F123" s="960"/>
    </row>
    <row r="124" ht="12.75">
      <c r="F124" s="960"/>
    </row>
    <row r="125" ht="12.75">
      <c r="F125" s="960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25">
      <selection activeCell="H19" sqref="H19"/>
    </sheetView>
  </sheetViews>
  <sheetFormatPr defaultColWidth="9.140625" defaultRowHeight="12.75"/>
  <cols>
    <col min="1" max="1" width="5.7109375" style="40" customWidth="1"/>
    <col min="2" max="2" width="38.57421875" style="40" customWidth="1"/>
    <col min="3" max="3" width="18.00390625" style="40" customWidth="1"/>
    <col min="4" max="4" width="8.8515625" style="40" customWidth="1"/>
    <col min="5" max="5" width="13.57421875" style="40" customWidth="1"/>
    <col min="6" max="6" width="15.140625" style="40" customWidth="1"/>
    <col min="7" max="7" width="16.57421875" style="534" customWidth="1"/>
    <col min="8" max="8" width="18.140625" style="534" customWidth="1"/>
    <col min="9" max="9" width="23.00390625" style="534" customWidth="1"/>
    <col min="10" max="10" width="33.140625" style="165" customWidth="1"/>
    <col min="11" max="11" width="18.140625" style="164" customWidth="1"/>
    <col min="12" max="12" width="15.7109375" style="164" customWidth="1"/>
    <col min="13" max="13" width="10.140625" style="164" bestFit="1" customWidth="1"/>
    <col min="14" max="14" width="9.140625" style="164" customWidth="1"/>
    <col min="15" max="16384" width="9.140625" style="40" customWidth="1"/>
  </cols>
  <sheetData>
    <row r="1" spans="3:4" ht="20.25">
      <c r="C1" s="532" t="s">
        <v>616</v>
      </c>
      <c r="D1" s="533"/>
    </row>
    <row r="2" spans="3:4" ht="18.75">
      <c r="C2" s="522" t="s">
        <v>612</v>
      </c>
      <c r="D2" s="533"/>
    </row>
    <row r="3" spans="3:4" ht="18.75">
      <c r="C3" s="522" t="s">
        <v>202</v>
      </c>
      <c r="D3" s="533"/>
    </row>
    <row r="4" spans="3:4" ht="18.75">
      <c r="C4" s="276" t="s">
        <v>613</v>
      </c>
      <c r="D4" s="533"/>
    </row>
    <row r="5" spans="3:4" ht="18.75">
      <c r="C5" s="533"/>
      <c r="D5" s="533"/>
    </row>
    <row r="6" spans="1:13" ht="18.75">
      <c r="A6" s="533"/>
      <c r="B6" s="533"/>
      <c r="C6" s="533"/>
      <c r="D6" s="533"/>
      <c r="E6" s="533"/>
      <c r="F6" s="533"/>
      <c r="G6" s="535"/>
      <c r="H6" s="535"/>
      <c r="I6" s="535"/>
      <c r="J6" s="536"/>
      <c r="K6" s="537"/>
      <c r="L6" s="537"/>
      <c r="M6" s="537"/>
    </row>
    <row r="7" spans="1:13" ht="20.25">
      <c r="A7" s="533"/>
      <c r="B7" s="538" t="s">
        <v>579</v>
      </c>
      <c r="C7" s="533"/>
      <c r="D7" s="533"/>
      <c r="E7" s="533"/>
      <c r="F7" s="533"/>
      <c r="G7" s="535"/>
      <c r="H7" s="535"/>
      <c r="I7" s="535"/>
      <c r="J7" s="536"/>
      <c r="K7" s="537"/>
      <c r="L7" s="537"/>
      <c r="M7" s="537"/>
    </row>
    <row r="8" spans="1:13" ht="20.25">
      <c r="A8" s="539"/>
      <c r="B8" s="538" t="s">
        <v>580</v>
      </c>
      <c r="C8" s="540"/>
      <c r="D8" s="541"/>
      <c r="E8" s="540"/>
      <c r="F8" s="540"/>
      <c r="G8" s="542"/>
      <c r="H8" s="542"/>
      <c r="I8" s="542"/>
      <c r="J8" s="543"/>
      <c r="K8" s="544"/>
      <c r="L8" s="537"/>
      <c r="M8" s="537"/>
    </row>
    <row r="9" spans="1:13" ht="20.25">
      <c r="A9" s="539"/>
      <c r="B9" s="538" t="s">
        <v>615</v>
      </c>
      <c r="C9" s="540"/>
      <c r="D9" s="541"/>
      <c r="E9" s="540"/>
      <c r="F9" s="540"/>
      <c r="G9" s="542"/>
      <c r="H9" s="542"/>
      <c r="I9" s="542"/>
      <c r="J9" s="543"/>
      <c r="K9" s="544"/>
      <c r="L9" s="537"/>
      <c r="M9" s="537"/>
    </row>
    <row r="10" spans="1:13" ht="20.25">
      <c r="A10" s="539"/>
      <c r="B10" s="538"/>
      <c r="C10" s="540"/>
      <c r="D10" s="541"/>
      <c r="E10" s="540"/>
      <c r="F10" s="540"/>
      <c r="G10" s="542"/>
      <c r="H10" s="542"/>
      <c r="I10" s="542"/>
      <c r="J10" s="543"/>
      <c r="K10" s="544"/>
      <c r="L10" s="537"/>
      <c r="M10" s="537"/>
    </row>
    <row r="11" spans="1:13" ht="18.75">
      <c r="A11" s="539"/>
      <c r="B11" s="540"/>
      <c r="C11" s="540"/>
      <c r="D11" s="541"/>
      <c r="E11" s="540"/>
      <c r="F11" s="545" t="s">
        <v>308</v>
      </c>
      <c r="G11" s="542"/>
      <c r="H11" s="542"/>
      <c r="I11" s="542"/>
      <c r="J11" s="543"/>
      <c r="K11" s="544"/>
      <c r="L11" s="537"/>
      <c r="M11" s="537"/>
    </row>
    <row r="12" spans="1:13" ht="29.25" customHeight="1">
      <c r="A12" s="546"/>
      <c r="B12" s="547"/>
      <c r="C12" s="547"/>
      <c r="D12" s="548"/>
      <c r="E12" s="549" t="s">
        <v>614</v>
      </c>
      <c r="F12" s="550"/>
      <c r="G12" s="542"/>
      <c r="H12" s="542"/>
      <c r="I12" s="551"/>
      <c r="J12" s="543"/>
      <c r="K12" s="544"/>
      <c r="L12" s="537"/>
      <c r="M12" s="537"/>
    </row>
    <row r="13" spans="1:14" s="563" customFormat="1" ht="33" customHeight="1">
      <c r="A13" s="552" t="s">
        <v>222</v>
      </c>
      <c r="B13" s="553" t="s">
        <v>581</v>
      </c>
      <c r="C13" s="554" t="s">
        <v>582</v>
      </c>
      <c r="D13" s="554" t="s">
        <v>583</v>
      </c>
      <c r="E13" s="555" t="s">
        <v>584</v>
      </c>
      <c r="F13" s="556" t="s">
        <v>585</v>
      </c>
      <c r="G13" s="557"/>
      <c r="H13" s="558"/>
      <c r="I13" s="559"/>
      <c r="J13" s="560"/>
      <c r="K13" s="544"/>
      <c r="L13" s="561"/>
      <c r="M13" s="561"/>
      <c r="N13" s="562"/>
    </row>
    <row r="14" spans="1:14" s="563" customFormat="1" ht="35.25" customHeight="1">
      <c r="A14" s="564" t="s">
        <v>465</v>
      </c>
      <c r="B14" s="565"/>
      <c r="C14" s="566"/>
      <c r="D14" s="566"/>
      <c r="E14" s="567">
        <f>E17+E20+E23</f>
        <v>2910.85</v>
      </c>
      <c r="F14" s="567">
        <f>F17+F20+F23</f>
        <v>210454.09</v>
      </c>
      <c r="G14" s="557"/>
      <c r="H14" s="558"/>
      <c r="I14" s="558"/>
      <c r="J14" s="560"/>
      <c r="K14" s="544"/>
      <c r="L14" s="561"/>
      <c r="M14" s="561"/>
      <c r="N14" s="562"/>
    </row>
    <row r="15" spans="1:8" ht="39" customHeight="1">
      <c r="A15" s="568" t="s">
        <v>145</v>
      </c>
      <c r="B15" s="569" t="s">
        <v>586</v>
      </c>
      <c r="C15" s="579" t="s">
        <v>587</v>
      </c>
      <c r="D15" s="571"/>
      <c r="E15" s="572"/>
      <c r="F15" s="572"/>
      <c r="H15" s="558"/>
    </row>
    <row r="16" spans="1:8" ht="54.75" customHeight="1">
      <c r="A16" s="573"/>
      <c r="B16" s="580" t="s">
        <v>588</v>
      </c>
      <c r="C16" s="574"/>
      <c r="D16" s="109"/>
      <c r="E16" s="595"/>
      <c r="F16" s="595"/>
      <c r="H16" s="558"/>
    </row>
    <row r="17" spans="1:8" ht="38.25" customHeight="1">
      <c r="A17" s="576"/>
      <c r="B17" s="580" t="s">
        <v>589</v>
      </c>
      <c r="C17" s="577"/>
      <c r="D17" s="109" t="s">
        <v>590</v>
      </c>
      <c r="E17" s="595">
        <v>2910.85</v>
      </c>
      <c r="F17" s="595">
        <v>48067.29</v>
      </c>
      <c r="H17" s="558"/>
    </row>
    <row r="18" spans="1:8" ht="55.5" customHeight="1">
      <c r="A18" s="568" t="s">
        <v>146</v>
      </c>
      <c r="B18" s="569" t="s">
        <v>591</v>
      </c>
      <c r="C18" s="570" t="s">
        <v>592</v>
      </c>
      <c r="D18" s="255"/>
      <c r="E18" s="594"/>
      <c r="F18" s="596"/>
      <c r="H18" s="558"/>
    </row>
    <row r="19" spans="1:8" ht="69" customHeight="1">
      <c r="A19" s="573"/>
      <c r="B19" s="582" t="s">
        <v>593</v>
      </c>
      <c r="C19" s="583"/>
      <c r="D19" s="584"/>
      <c r="E19" s="595"/>
      <c r="F19" s="597"/>
      <c r="H19" s="558"/>
    </row>
    <row r="20" spans="1:8" ht="38.25" customHeight="1">
      <c r="A20" s="576"/>
      <c r="B20" s="582" t="s">
        <v>594</v>
      </c>
      <c r="C20" s="585"/>
      <c r="D20" s="586" t="s">
        <v>595</v>
      </c>
      <c r="E20" s="581"/>
      <c r="F20" s="598">
        <v>89436.8</v>
      </c>
      <c r="H20" s="558"/>
    </row>
    <row r="21" spans="1:8" ht="55.5" customHeight="1">
      <c r="A21" s="568" t="s">
        <v>147</v>
      </c>
      <c r="B21" s="569" t="s">
        <v>596</v>
      </c>
      <c r="C21" s="579" t="s">
        <v>587</v>
      </c>
      <c r="D21" s="255"/>
      <c r="E21" s="594"/>
      <c r="F21" s="596"/>
      <c r="H21" s="558"/>
    </row>
    <row r="22" spans="1:8" ht="59.25" customHeight="1">
      <c r="A22" s="573"/>
      <c r="B22" s="582" t="s">
        <v>597</v>
      </c>
      <c r="C22" s="583"/>
      <c r="D22" s="584"/>
      <c r="E22" s="595"/>
      <c r="F22" s="597"/>
      <c r="H22" s="558"/>
    </row>
    <row r="23" spans="1:8" ht="38.25" customHeight="1">
      <c r="A23" s="576"/>
      <c r="B23" s="582" t="s">
        <v>598</v>
      </c>
      <c r="C23" s="585"/>
      <c r="D23" s="586" t="s">
        <v>595</v>
      </c>
      <c r="E23" s="581"/>
      <c r="F23" s="598">
        <v>72950</v>
      </c>
      <c r="H23" s="558"/>
    </row>
    <row r="24" spans="1:14" s="37" customFormat="1" ht="27.75" customHeight="1">
      <c r="A24" s="587" t="s">
        <v>255</v>
      </c>
      <c r="B24" s="463"/>
      <c r="C24" s="588"/>
      <c r="D24" s="589"/>
      <c r="E24" s="530">
        <f>E27+E30+E33</f>
        <v>4567.09</v>
      </c>
      <c r="F24" s="530">
        <f>F27+F30+F33</f>
        <v>620829.03</v>
      </c>
      <c r="G24" s="157"/>
      <c r="H24" s="558"/>
      <c r="I24" s="298"/>
      <c r="J24" s="84"/>
      <c r="K24" s="245"/>
      <c r="L24" s="245"/>
      <c r="M24" s="245"/>
      <c r="N24" s="245"/>
    </row>
    <row r="25" spans="1:11" ht="56.25" customHeight="1">
      <c r="A25" s="568" t="s">
        <v>599</v>
      </c>
      <c r="B25" s="569" t="s">
        <v>586</v>
      </c>
      <c r="C25" s="579" t="s">
        <v>600</v>
      </c>
      <c r="D25" s="571"/>
      <c r="E25" s="572"/>
      <c r="F25" s="572"/>
      <c r="K25" s="590"/>
    </row>
    <row r="26" spans="1:6" ht="56.25" customHeight="1">
      <c r="A26" s="573"/>
      <c r="B26" s="580" t="s">
        <v>601</v>
      </c>
      <c r="C26" s="574"/>
      <c r="D26" s="109"/>
      <c r="E26" s="575"/>
      <c r="F26" s="575"/>
    </row>
    <row r="27" spans="1:6" ht="36" customHeight="1">
      <c r="A27" s="576"/>
      <c r="B27" s="580" t="s">
        <v>602</v>
      </c>
      <c r="C27" s="577"/>
      <c r="D27" s="578" t="s">
        <v>590</v>
      </c>
      <c r="E27" s="581">
        <v>4567.09</v>
      </c>
      <c r="F27" s="581">
        <v>75417.15</v>
      </c>
    </row>
    <row r="28" spans="1:6" ht="69" customHeight="1">
      <c r="A28" s="568" t="s">
        <v>603</v>
      </c>
      <c r="B28" s="569" t="s">
        <v>604</v>
      </c>
      <c r="C28" s="579" t="s">
        <v>605</v>
      </c>
      <c r="D28" s="571"/>
      <c r="E28" s="572"/>
      <c r="F28" s="572"/>
    </row>
    <row r="29" spans="1:6" ht="50.25" customHeight="1">
      <c r="A29" s="573"/>
      <c r="B29" s="580" t="s">
        <v>606</v>
      </c>
      <c r="C29" s="574"/>
      <c r="D29" s="109"/>
      <c r="E29" s="575"/>
      <c r="F29" s="575"/>
    </row>
    <row r="30" spans="1:6" ht="38.25" customHeight="1">
      <c r="A30" s="576"/>
      <c r="B30" s="580" t="s">
        <v>607</v>
      </c>
      <c r="C30" s="577"/>
      <c r="D30" s="578" t="s">
        <v>590</v>
      </c>
      <c r="E30" s="581">
        <v>0</v>
      </c>
      <c r="F30" s="581">
        <v>539169.61</v>
      </c>
    </row>
    <row r="31" spans="1:6" ht="63.75">
      <c r="A31" s="568" t="s">
        <v>608</v>
      </c>
      <c r="B31" s="569" t="s">
        <v>604</v>
      </c>
      <c r="C31" s="579" t="s">
        <v>609</v>
      </c>
      <c r="D31" s="571"/>
      <c r="E31" s="594"/>
      <c r="F31" s="594"/>
    </row>
    <row r="32" spans="1:6" ht="33.75" customHeight="1">
      <c r="A32" s="573"/>
      <c r="B32" s="580" t="s">
        <v>610</v>
      </c>
      <c r="C32" s="574"/>
      <c r="D32" s="109"/>
      <c r="E32" s="595"/>
      <c r="F32" s="595"/>
    </row>
    <row r="33" spans="1:6" ht="26.25" customHeight="1">
      <c r="A33" s="576"/>
      <c r="B33" s="580" t="s">
        <v>611</v>
      </c>
      <c r="C33" s="577"/>
      <c r="D33" s="578" t="s">
        <v>590</v>
      </c>
      <c r="E33" s="581">
        <v>0</v>
      </c>
      <c r="F33" s="581">
        <v>6242.27</v>
      </c>
    </row>
    <row r="34" spans="3:11" ht="18.75">
      <c r="C34" s="48"/>
      <c r="D34" s="48"/>
      <c r="E34" s="591"/>
      <c r="F34" s="210"/>
      <c r="K34" s="590"/>
    </row>
    <row r="35" spans="3:6" ht="18.75">
      <c r="C35" s="48"/>
      <c r="D35" s="48"/>
      <c r="E35" s="592"/>
      <c r="F35" s="593"/>
    </row>
    <row r="36" spans="3:6" ht="18.75">
      <c r="C36" s="48"/>
      <c r="D36" s="48"/>
      <c r="E36" s="592"/>
      <c r="F36" s="593"/>
    </row>
    <row r="37" spans="3:6" ht="18.75">
      <c r="C37" s="48"/>
      <c r="D37" s="48"/>
      <c r="E37" s="210"/>
      <c r="F37" s="210"/>
    </row>
    <row r="38" spans="3:6" ht="18.75">
      <c r="C38" s="48"/>
      <c r="D38" s="48"/>
      <c r="E38" s="592"/>
      <c r="F38" s="593"/>
    </row>
    <row r="39" spans="3:6" ht="18.75">
      <c r="C39" s="48"/>
      <c r="D39" s="48"/>
      <c r="E39" s="210"/>
      <c r="F39" s="210"/>
    </row>
    <row r="40" spans="3:6" ht="18.75">
      <c r="C40" s="48"/>
      <c r="D40" s="48"/>
      <c r="E40" s="210"/>
      <c r="F40" s="210"/>
    </row>
    <row r="41" spans="3:6" ht="18.75">
      <c r="C41" s="48"/>
      <c r="D41" s="48"/>
      <c r="E41" s="210"/>
      <c r="F41" s="210"/>
    </row>
    <row r="42" spans="3:6" ht="18.75">
      <c r="C42" s="48"/>
      <c r="D42" s="48"/>
      <c r="E42" s="210"/>
      <c r="F42" s="210"/>
    </row>
    <row r="43" spans="3:6" ht="18.75">
      <c r="C43" s="48"/>
      <c r="D43" s="48"/>
      <c r="E43" s="210"/>
      <c r="F43" s="210"/>
    </row>
    <row r="44" spans="3:6" ht="18.75">
      <c r="C44" s="48"/>
      <c r="D44" s="48"/>
      <c r="E44" s="210"/>
      <c r="F44" s="210"/>
    </row>
    <row r="45" spans="3:6" ht="18.75">
      <c r="C45" s="48"/>
      <c r="D45" s="48"/>
      <c r="E45" s="210"/>
      <c r="F45" s="210"/>
    </row>
    <row r="46" spans="3:6" ht="18.75">
      <c r="C46" s="48"/>
      <c r="D46" s="48"/>
      <c r="E46" s="210"/>
      <c r="F46" s="210"/>
    </row>
    <row r="47" spans="5:6" ht="18.75">
      <c r="E47" s="210"/>
      <c r="F47" s="210"/>
    </row>
    <row r="48" spans="5:6" ht="18.75">
      <c r="E48" s="210"/>
      <c r="F48" s="210"/>
    </row>
    <row r="49" spans="5:6" ht="18.75">
      <c r="E49" s="210"/>
      <c r="F49" s="210"/>
    </row>
    <row r="50" spans="5:6" ht="18.75">
      <c r="E50" s="210"/>
      <c r="F50" s="210"/>
    </row>
    <row r="51" spans="5:6" ht="18.75">
      <c r="E51" s="210"/>
      <c r="F51" s="210"/>
    </row>
    <row r="52" spans="5:6" ht="18.75">
      <c r="E52" s="210"/>
      <c r="F52" s="210"/>
    </row>
    <row r="53" spans="5:6" ht="18.75">
      <c r="E53" s="210"/>
      <c r="F53" s="210"/>
    </row>
    <row r="54" spans="5:6" ht="18.75">
      <c r="E54" s="210"/>
      <c r="F54" s="210"/>
    </row>
    <row r="55" spans="5:6" ht="18.75">
      <c r="E55" s="210"/>
      <c r="F55" s="210"/>
    </row>
    <row r="56" spans="5:6" ht="18.75">
      <c r="E56" s="210"/>
      <c r="F56" s="210"/>
    </row>
    <row r="57" spans="5:6" ht="18.75">
      <c r="E57" s="210"/>
      <c r="F57" s="210"/>
    </row>
    <row r="58" spans="5:6" ht="18.75">
      <c r="E58" s="210"/>
      <c r="F58" s="210"/>
    </row>
    <row r="59" spans="5:6" ht="18.75">
      <c r="E59" s="210"/>
      <c r="F59" s="210"/>
    </row>
    <row r="60" spans="5:6" ht="18.75">
      <c r="E60" s="210"/>
      <c r="F60" s="210"/>
    </row>
    <row r="61" spans="5:6" ht="18.75">
      <c r="E61" s="210"/>
      <c r="F61" s="210"/>
    </row>
    <row r="62" spans="5:6" ht="18.75">
      <c r="E62" s="210"/>
      <c r="F62" s="210"/>
    </row>
    <row r="63" spans="5:6" ht="18.75">
      <c r="E63" s="210"/>
      <c r="F63" s="210"/>
    </row>
    <row r="64" spans="5:6" ht="18.75">
      <c r="E64" s="210"/>
      <c r="F64" s="210"/>
    </row>
    <row r="65" spans="5:6" ht="18.75">
      <c r="E65" s="210"/>
      <c r="F65" s="210"/>
    </row>
    <row r="66" spans="5:6" ht="18.75">
      <c r="E66" s="210"/>
      <c r="F66" s="210"/>
    </row>
    <row r="67" spans="5:6" ht="18.75">
      <c r="E67" s="210"/>
      <c r="F67" s="210"/>
    </row>
    <row r="68" spans="5:6" ht="18.75">
      <c r="E68" s="210"/>
      <c r="F68" s="210"/>
    </row>
    <row r="69" spans="5:6" ht="18.75">
      <c r="E69" s="210"/>
      <c r="F69" s="210"/>
    </row>
    <row r="70" spans="5:6" ht="18.75">
      <c r="E70" s="210"/>
      <c r="F70" s="210"/>
    </row>
    <row r="71" spans="5:6" ht="18.75">
      <c r="E71" s="210"/>
      <c r="F71" s="210"/>
    </row>
    <row r="72" spans="5:6" ht="18.75">
      <c r="E72" s="210"/>
      <c r="F72" s="210"/>
    </row>
    <row r="73" spans="5:6" ht="18.75">
      <c r="E73" s="210"/>
      <c r="F73" s="210"/>
    </row>
    <row r="74" spans="5:6" ht="18.75">
      <c r="E74" s="210"/>
      <c r="F74" s="210"/>
    </row>
    <row r="75" spans="5:6" ht="18.75">
      <c r="E75" s="210"/>
      <c r="F75" s="210"/>
    </row>
    <row r="76" spans="5:6" ht="18.75">
      <c r="E76" s="210"/>
      <c r="F76" s="210"/>
    </row>
    <row r="77" spans="5:6" ht="18.75">
      <c r="E77" s="210"/>
      <c r="F77" s="210"/>
    </row>
    <row r="78" spans="5:6" ht="18.75">
      <c r="E78" s="210"/>
      <c r="F78" s="210"/>
    </row>
    <row r="79" spans="5:6" ht="18.75">
      <c r="E79" s="210"/>
      <c r="F79" s="210"/>
    </row>
    <row r="80" spans="5:6" ht="18.75">
      <c r="E80" s="210"/>
      <c r="F80" s="210"/>
    </row>
    <row r="81" spans="5:6" ht="18.75">
      <c r="E81" s="210"/>
      <c r="F81" s="210"/>
    </row>
    <row r="82" spans="5:6" ht="18.75">
      <c r="E82" s="210"/>
      <c r="F82" s="210"/>
    </row>
    <row r="83" spans="5:6" ht="18.75">
      <c r="E83" s="210"/>
      <c r="F83" s="210"/>
    </row>
    <row r="84" spans="5:6" ht="18.75">
      <c r="E84" s="210"/>
      <c r="F84" s="210"/>
    </row>
    <row r="85" spans="5:6" ht="18.75">
      <c r="E85" s="210"/>
      <c r="F85" s="210"/>
    </row>
    <row r="86" spans="5:6" ht="18.75">
      <c r="E86" s="210"/>
      <c r="F86" s="210"/>
    </row>
    <row r="87" spans="5:6" ht="18.75">
      <c r="E87" s="210"/>
      <c r="F87" s="210"/>
    </row>
    <row r="88" spans="5:6" ht="18.75">
      <c r="E88" s="210"/>
      <c r="F88" s="210"/>
    </row>
    <row r="89" spans="5:6" ht="18.75">
      <c r="E89" s="210"/>
      <c r="F89" s="210"/>
    </row>
    <row r="90" spans="5:6" ht="18.75">
      <c r="E90" s="210"/>
      <c r="F90" s="210"/>
    </row>
    <row r="91" spans="5:6" ht="18.75">
      <c r="E91" s="210"/>
      <c r="F91" s="210"/>
    </row>
    <row r="92" spans="5:6" ht="18.75">
      <c r="E92" s="210"/>
      <c r="F92" s="210"/>
    </row>
    <row r="93" spans="5:6" ht="18.75">
      <c r="E93" s="210"/>
      <c r="F93" s="210"/>
    </row>
    <row r="94" spans="5:6" ht="18.75">
      <c r="E94" s="210"/>
      <c r="F94" s="210"/>
    </row>
    <row r="95" spans="5:6" ht="18.75">
      <c r="E95" s="210"/>
      <c r="F95" s="210"/>
    </row>
    <row r="96" spans="5:6" ht="18.75">
      <c r="E96" s="210"/>
      <c r="F96" s="210"/>
    </row>
    <row r="97" spans="5:6" ht="18.75">
      <c r="E97" s="210"/>
      <c r="F97" s="210"/>
    </row>
    <row r="98" spans="5:6" ht="18.75">
      <c r="E98" s="210"/>
      <c r="F98" s="210"/>
    </row>
    <row r="99" spans="5:6" ht="18.75">
      <c r="E99" s="210"/>
      <c r="F99" s="210"/>
    </row>
    <row r="100" spans="5:6" ht="18.75">
      <c r="E100" s="210"/>
      <c r="F100" s="210"/>
    </row>
    <row r="101" spans="5:6" ht="18.75">
      <c r="E101" s="210"/>
      <c r="F101" s="210"/>
    </row>
    <row r="102" spans="5:6" ht="18.75">
      <c r="E102" s="210"/>
      <c r="F102" s="210"/>
    </row>
    <row r="103" spans="5:6" ht="18.75">
      <c r="E103" s="210"/>
      <c r="F103" s="210"/>
    </row>
    <row r="104" spans="5:6" ht="18.75">
      <c r="E104" s="210"/>
      <c r="F104" s="210"/>
    </row>
    <row r="105" spans="5:6" ht="18.75">
      <c r="E105" s="210"/>
      <c r="F105" s="210"/>
    </row>
    <row r="106" spans="5:6" ht="18.75">
      <c r="E106" s="210"/>
      <c r="F106" s="210"/>
    </row>
    <row r="107" spans="5:6" ht="18.75">
      <c r="E107" s="210"/>
      <c r="F107" s="210"/>
    </row>
    <row r="108" spans="5:6" ht="18.75">
      <c r="E108" s="210"/>
      <c r="F108" s="210"/>
    </row>
    <row r="109" spans="5:6" ht="18.75">
      <c r="E109" s="210"/>
      <c r="F109" s="210"/>
    </row>
    <row r="110" spans="5:6" ht="18.75">
      <c r="E110" s="210"/>
      <c r="F110" s="210"/>
    </row>
    <row r="111" spans="5:6" ht="18.75">
      <c r="E111" s="210"/>
      <c r="F111" s="210"/>
    </row>
    <row r="112" spans="5:6" ht="18.75">
      <c r="E112" s="210"/>
      <c r="F112" s="210"/>
    </row>
    <row r="113" spans="5:6" ht="18.75">
      <c r="E113" s="210"/>
      <c r="F113" s="210"/>
    </row>
    <row r="114" spans="5:6" ht="18.75">
      <c r="E114" s="210"/>
      <c r="F114" s="210"/>
    </row>
    <row r="115" spans="5:6" ht="18.75">
      <c r="E115" s="210"/>
      <c r="F115" s="210"/>
    </row>
    <row r="116" spans="5:6" ht="18.75">
      <c r="E116" s="210"/>
      <c r="F116" s="210"/>
    </row>
    <row r="117" spans="5:6" ht="18.75">
      <c r="E117" s="210"/>
      <c r="F117" s="210"/>
    </row>
    <row r="118" spans="5:6" ht="18.75">
      <c r="E118" s="210"/>
      <c r="F118" s="210"/>
    </row>
    <row r="119" spans="5:6" ht="18.75">
      <c r="E119" s="210"/>
      <c r="F119" s="210"/>
    </row>
    <row r="120" spans="5:6" ht="18.75">
      <c r="E120" s="210"/>
      <c r="F120" s="210"/>
    </row>
    <row r="121" spans="5:6" ht="18.75">
      <c r="E121" s="210"/>
      <c r="F121" s="210"/>
    </row>
    <row r="122" spans="5:6" ht="18.75">
      <c r="E122" s="210"/>
      <c r="F122" s="210"/>
    </row>
    <row r="123" spans="5:6" ht="18.75">
      <c r="E123" s="210"/>
      <c r="F123" s="210"/>
    </row>
    <row r="124" spans="5:6" ht="18.75">
      <c r="E124" s="210"/>
      <c r="F124" s="210"/>
    </row>
    <row r="125" spans="5:6" ht="18.75">
      <c r="E125" s="210"/>
      <c r="F125" s="210"/>
    </row>
    <row r="126" spans="5:6" ht="18.75">
      <c r="E126" s="210"/>
      <c r="F126" s="210"/>
    </row>
    <row r="127" spans="5:6" ht="18.75">
      <c r="E127" s="210"/>
      <c r="F127" s="210"/>
    </row>
    <row r="128" spans="5:6" ht="18.75">
      <c r="E128" s="210"/>
      <c r="F128" s="210"/>
    </row>
    <row r="129" spans="5:6" ht="18.75">
      <c r="E129" s="210"/>
      <c r="F129" s="210"/>
    </row>
    <row r="130" spans="5:6" ht="18.75">
      <c r="E130" s="210"/>
      <c r="F130" s="210"/>
    </row>
    <row r="131" spans="5:6" ht="18.75">
      <c r="E131" s="210"/>
      <c r="F131" s="210"/>
    </row>
    <row r="132" spans="5:6" ht="18.75">
      <c r="E132" s="210"/>
      <c r="F132" s="210"/>
    </row>
    <row r="133" spans="5:6" ht="18.75">
      <c r="E133" s="210"/>
      <c r="F133" s="210"/>
    </row>
    <row r="134" spans="5:6" ht="18.75">
      <c r="E134" s="210"/>
      <c r="F134" s="210"/>
    </row>
    <row r="135" spans="5:6" ht="18.75">
      <c r="E135" s="210"/>
      <c r="F135" s="210"/>
    </row>
    <row r="136" spans="5:6" ht="18.75">
      <c r="E136" s="210"/>
      <c r="F136" s="210"/>
    </row>
    <row r="137" spans="5:6" ht="18.75">
      <c r="E137" s="210"/>
      <c r="F137" s="210"/>
    </row>
    <row r="138" spans="5:6" ht="18.75">
      <c r="E138" s="210"/>
      <c r="F138" s="210"/>
    </row>
    <row r="139" spans="5:6" ht="18.75">
      <c r="E139" s="210"/>
      <c r="F139" s="210"/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M11" sqref="M11"/>
    </sheetView>
  </sheetViews>
  <sheetFormatPr defaultColWidth="9.140625" defaultRowHeight="12.75"/>
  <cols>
    <col min="1" max="1" width="4.00390625" style="40" customWidth="1"/>
    <col min="2" max="2" width="5.28125" style="40" customWidth="1"/>
    <col min="3" max="3" width="5.00390625" style="40" customWidth="1"/>
    <col min="4" max="4" width="27.00390625" style="244" customWidth="1"/>
    <col min="5" max="5" width="12.57421875" style="40" customWidth="1"/>
    <col min="6" max="6" width="11.8515625" style="40" customWidth="1"/>
    <col min="7" max="7" width="6.421875" style="40" customWidth="1"/>
    <col min="8" max="8" width="13.7109375" style="40" customWidth="1"/>
    <col min="9" max="9" width="12.28125" style="40" customWidth="1"/>
    <col min="10" max="10" width="6.7109375" style="40" customWidth="1"/>
    <col min="11" max="16384" width="9.140625" style="40" customWidth="1"/>
  </cols>
  <sheetData>
    <row r="1" spans="1:8" ht="19.5">
      <c r="A1" s="123"/>
      <c r="B1" s="123"/>
      <c r="C1" s="123"/>
      <c r="E1" s="245"/>
      <c r="F1" s="245"/>
      <c r="G1" s="245"/>
      <c r="H1" s="603" t="s">
        <v>41</v>
      </c>
    </row>
    <row r="2" spans="1:8" ht="18.75">
      <c r="A2" s="123"/>
      <c r="B2" s="123"/>
      <c r="C2" s="123"/>
      <c r="E2" s="245"/>
      <c r="F2" s="245"/>
      <c r="G2" s="245"/>
      <c r="H2" s="245" t="s">
        <v>620</v>
      </c>
    </row>
    <row r="3" spans="1:8" ht="18.75">
      <c r="A3" s="123"/>
      <c r="B3" s="123"/>
      <c r="C3" s="123"/>
      <c r="E3" s="245"/>
      <c r="F3" s="245"/>
      <c r="G3" s="245"/>
      <c r="H3" s="245" t="s">
        <v>202</v>
      </c>
    </row>
    <row r="4" spans="1:8" ht="18.75">
      <c r="A4" s="123"/>
      <c r="B4" s="123"/>
      <c r="C4" s="123"/>
      <c r="E4" s="245"/>
      <c r="F4" s="245"/>
      <c r="G4" s="245"/>
      <c r="H4" s="245" t="s">
        <v>621</v>
      </c>
    </row>
    <row r="5" spans="1:8" ht="18.75">
      <c r="A5" s="123"/>
      <c r="B5" s="123"/>
      <c r="C5" s="123"/>
      <c r="E5" s="245"/>
      <c r="F5" s="245"/>
      <c r="G5" s="245"/>
      <c r="H5" s="245"/>
    </row>
    <row r="6" spans="1:7" ht="12.75">
      <c r="A6" s="123"/>
      <c r="B6" s="123"/>
      <c r="C6" s="123"/>
      <c r="E6" s="728"/>
      <c r="F6" s="728"/>
      <c r="G6" s="728"/>
    </row>
    <row r="7" spans="1:7" ht="18.75">
      <c r="A7" s="652" t="s">
        <v>17</v>
      </c>
      <c r="B7" s="123"/>
      <c r="C7" s="123"/>
      <c r="E7" s="728"/>
      <c r="F7" s="728"/>
      <c r="G7" s="728"/>
    </row>
    <row r="8" spans="1:7" ht="18.75">
      <c r="A8" s="652" t="s">
        <v>18</v>
      </c>
      <c r="B8" s="123"/>
      <c r="C8" s="123"/>
      <c r="E8" s="728"/>
      <c r="F8" s="728"/>
      <c r="G8" s="728"/>
    </row>
    <row r="9" spans="1:7" ht="18.75">
      <c r="A9" s="701" t="s">
        <v>42</v>
      </c>
      <c r="B9" s="827"/>
      <c r="C9" s="827"/>
      <c r="D9" s="827"/>
      <c r="E9" s="728"/>
      <c r="F9" s="728"/>
      <c r="G9" s="728"/>
    </row>
    <row r="10" spans="1:7" ht="15.75">
      <c r="A10" s="828"/>
      <c r="B10" s="827"/>
      <c r="C10" s="827"/>
      <c r="D10" s="827"/>
      <c r="E10" s="728"/>
      <c r="F10" s="728"/>
      <c r="G10" s="728"/>
    </row>
    <row r="11" spans="1:9" ht="12.75">
      <c r="A11" s="703" t="s">
        <v>307</v>
      </c>
      <c r="B11" s="703"/>
      <c r="C11" s="703"/>
      <c r="D11" s="729"/>
      <c r="E11" s="730"/>
      <c r="F11" s="730"/>
      <c r="G11" s="730"/>
      <c r="H11" s="458"/>
      <c r="I11" s="458" t="s">
        <v>308</v>
      </c>
    </row>
    <row r="12" spans="1:10" ht="60.75" customHeight="1">
      <c r="A12" s="434" t="s">
        <v>309</v>
      </c>
      <c r="B12" s="434" t="s">
        <v>310</v>
      </c>
      <c r="C12" s="434" t="s">
        <v>435</v>
      </c>
      <c r="D12" s="267" t="s">
        <v>245</v>
      </c>
      <c r="E12" s="429" t="s">
        <v>20</v>
      </c>
      <c r="F12" s="429" t="s">
        <v>21</v>
      </c>
      <c r="G12" s="267" t="s">
        <v>411</v>
      </c>
      <c r="H12" s="429" t="s">
        <v>22</v>
      </c>
      <c r="I12" s="429" t="s">
        <v>23</v>
      </c>
      <c r="J12" s="267" t="s">
        <v>411</v>
      </c>
    </row>
    <row r="13" spans="1:10" ht="23.25" customHeight="1">
      <c r="A13" s="66">
        <v>600</v>
      </c>
      <c r="B13" s="829"/>
      <c r="C13" s="829"/>
      <c r="D13" s="830" t="s">
        <v>311</v>
      </c>
      <c r="E13" s="734">
        <f>E14</f>
        <v>1277383.6300000001</v>
      </c>
      <c r="F13" s="734">
        <f>F14</f>
        <v>1273645.98</v>
      </c>
      <c r="G13" s="734">
        <f>F13*100/E13</f>
        <v>99.70739800384007</v>
      </c>
      <c r="H13" s="734">
        <f>H14</f>
        <v>1277383.6300000001</v>
      </c>
      <c r="I13" s="734">
        <f>I14</f>
        <v>1273645.98</v>
      </c>
      <c r="J13" s="33">
        <f>I13*100/H13</f>
        <v>99.70739800384007</v>
      </c>
    </row>
    <row r="14" spans="1:10" ht="27.75" customHeight="1">
      <c r="A14" s="831"/>
      <c r="B14" s="31">
        <v>60004</v>
      </c>
      <c r="C14" s="832"/>
      <c r="D14" s="833" t="s">
        <v>313</v>
      </c>
      <c r="E14" s="124">
        <f>SUM(E15:E16)</f>
        <v>1277383.6300000001</v>
      </c>
      <c r="F14" s="124">
        <f>SUM(F15:F16)</f>
        <v>1273645.98</v>
      </c>
      <c r="G14" s="834">
        <f>F14*100/E14</f>
        <v>99.70739800384007</v>
      </c>
      <c r="H14" s="124">
        <f>SUM(H15:H16)</f>
        <v>1277383.6300000001</v>
      </c>
      <c r="I14" s="124">
        <f>SUM(I15:I16)</f>
        <v>1273645.98</v>
      </c>
      <c r="J14" s="52">
        <f>I14*100/H14</f>
        <v>99.70739800384007</v>
      </c>
    </row>
    <row r="15" spans="1:10" s="123" customFormat="1" ht="51" customHeight="1">
      <c r="A15" s="16"/>
      <c r="B15" s="13"/>
      <c r="C15" s="835">
        <v>2310</v>
      </c>
      <c r="D15" s="740" t="s">
        <v>43</v>
      </c>
      <c r="E15" s="836">
        <f>1254396.05+5542.46+17445.12</f>
        <v>1277383.6300000001</v>
      </c>
      <c r="F15" s="836">
        <v>1273645.98</v>
      </c>
      <c r="G15" s="836"/>
      <c r="H15" s="268"/>
      <c r="I15" s="837"/>
      <c r="J15" s="268"/>
    </row>
    <row r="16" spans="1:10" ht="39" customHeight="1">
      <c r="A16" s="838"/>
      <c r="B16" s="642"/>
      <c r="C16" s="81">
        <v>2650</v>
      </c>
      <c r="D16" s="743" t="s">
        <v>296</v>
      </c>
      <c r="E16" s="839"/>
      <c r="F16" s="839"/>
      <c r="G16" s="839"/>
      <c r="H16" s="72">
        <f>1254396.05+5542.46+17445.12</f>
        <v>1277383.6300000001</v>
      </c>
      <c r="I16" s="52">
        <v>1273645.98</v>
      </c>
      <c r="J16" s="52"/>
    </row>
    <row r="17" spans="1:10" ht="27" customHeight="1">
      <c r="A17" s="57">
        <v>851</v>
      </c>
      <c r="B17" s="840"/>
      <c r="C17" s="841"/>
      <c r="D17" s="842" t="s">
        <v>306</v>
      </c>
      <c r="E17" s="73">
        <f>E18</f>
        <v>10000</v>
      </c>
      <c r="F17" s="73">
        <f>F18</f>
        <v>0</v>
      </c>
      <c r="G17" s="73">
        <f>F17*100/E17</f>
        <v>0</v>
      </c>
      <c r="H17" s="73">
        <f>H18</f>
        <v>10000</v>
      </c>
      <c r="I17" s="73">
        <f>I18</f>
        <v>0</v>
      </c>
      <c r="J17" s="33">
        <f>I17*100/H17</f>
        <v>0</v>
      </c>
    </row>
    <row r="18" spans="1:10" ht="25.5" customHeight="1">
      <c r="A18" s="831"/>
      <c r="B18" s="31">
        <v>85154</v>
      </c>
      <c r="C18" s="843"/>
      <c r="D18" s="833" t="s">
        <v>190</v>
      </c>
      <c r="E18" s="124">
        <f>SUM(E19)</f>
        <v>10000</v>
      </c>
      <c r="F18" s="124">
        <f>SUM(F19)</f>
        <v>0</v>
      </c>
      <c r="G18" s="124">
        <f>F18*100/E18</f>
        <v>0</v>
      </c>
      <c r="H18" s="124">
        <f>SUM(H20:H21)</f>
        <v>10000</v>
      </c>
      <c r="I18" s="124">
        <f>SUM(I20:I21)</f>
        <v>0</v>
      </c>
      <c r="J18" s="52">
        <f>I18*100/H18</f>
        <v>0</v>
      </c>
    </row>
    <row r="19" spans="1:10" ht="48" customHeight="1">
      <c r="A19" s="844"/>
      <c r="B19" s="31"/>
      <c r="C19" s="835">
        <v>2310</v>
      </c>
      <c r="D19" s="740" t="s">
        <v>43</v>
      </c>
      <c r="E19" s="124">
        <v>10000</v>
      </c>
      <c r="F19" s="124">
        <v>0</v>
      </c>
      <c r="G19" s="124"/>
      <c r="H19" s="124"/>
      <c r="I19" s="708"/>
      <c r="J19" s="52"/>
    </row>
    <row r="20" spans="1:10" ht="27" customHeight="1">
      <c r="A20" s="16"/>
      <c r="B20" s="7"/>
      <c r="C20" s="835">
        <v>4190</v>
      </c>
      <c r="D20" s="740" t="s">
        <v>175</v>
      </c>
      <c r="E20" s="836"/>
      <c r="F20" s="836"/>
      <c r="G20" s="836"/>
      <c r="H20" s="52">
        <v>1100</v>
      </c>
      <c r="I20" s="52">
        <v>0</v>
      </c>
      <c r="J20" s="52"/>
    </row>
    <row r="21" spans="1:10" ht="27.75" customHeight="1">
      <c r="A21" s="838"/>
      <c r="B21" s="647"/>
      <c r="C21" s="835">
        <v>4300</v>
      </c>
      <c r="D21" s="163" t="s">
        <v>446</v>
      </c>
      <c r="E21" s="839"/>
      <c r="F21" s="839"/>
      <c r="G21" s="839"/>
      <c r="H21" s="52">
        <v>8900</v>
      </c>
      <c r="I21" s="52">
        <v>0</v>
      </c>
      <c r="J21" s="52"/>
    </row>
    <row r="22" spans="1:10" ht="28.5" customHeight="1">
      <c r="A22" s="3" t="s">
        <v>565</v>
      </c>
      <c r="B22" s="845"/>
      <c r="C22" s="846"/>
      <c r="D22" s="499"/>
      <c r="E22" s="847">
        <f>E13+E17</f>
        <v>1287383.6300000001</v>
      </c>
      <c r="F22" s="847">
        <f>F13+F17</f>
        <v>1273645.98</v>
      </c>
      <c r="G22" s="847">
        <f>F22*100/E22</f>
        <v>98.93290160913416</v>
      </c>
      <c r="H22" s="847">
        <f>H13+H17</f>
        <v>1287383.6300000001</v>
      </c>
      <c r="I22" s="847">
        <f>I13+I17</f>
        <v>1273645.98</v>
      </c>
      <c r="J22" s="33">
        <f>I22*100/H22</f>
        <v>98.93290160913416</v>
      </c>
    </row>
    <row r="23" spans="1:10" s="260" customFormat="1" ht="34.5" customHeight="1">
      <c r="A23" s="848">
        <v>853</v>
      </c>
      <c r="B23" s="57"/>
      <c r="C23" s="89"/>
      <c r="D23" s="849" t="s">
        <v>439</v>
      </c>
      <c r="E23" s="850">
        <f>E24</f>
        <v>19365.51</v>
      </c>
      <c r="F23" s="850">
        <f>F24</f>
        <v>19365.51</v>
      </c>
      <c r="G23" s="847">
        <f>F23*100/E23</f>
        <v>100</v>
      </c>
      <c r="H23" s="850">
        <f>H24</f>
        <v>19365.51</v>
      </c>
      <c r="I23" s="850">
        <f>I24</f>
        <v>19365.51</v>
      </c>
      <c r="J23" s="33">
        <f>I23*100/H23</f>
        <v>100</v>
      </c>
    </row>
    <row r="24" spans="1:10" ht="33.75" customHeight="1">
      <c r="A24" s="491"/>
      <c r="B24" s="35">
        <v>85311</v>
      </c>
      <c r="C24" s="74"/>
      <c r="D24" s="851" t="s">
        <v>363</v>
      </c>
      <c r="E24" s="852">
        <f>SUM(E25)</f>
        <v>19365.51</v>
      </c>
      <c r="F24" s="852">
        <f>SUM(F25)</f>
        <v>19365.51</v>
      </c>
      <c r="G24" s="208">
        <f>F24*100/E24</f>
        <v>100</v>
      </c>
      <c r="H24" s="852">
        <f>SUM(H26)</f>
        <v>19365.51</v>
      </c>
      <c r="I24" s="852">
        <f>SUM(I26)</f>
        <v>19365.51</v>
      </c>
      <c r="J24" s="52">
        <f>I24*100/H24</f>
        <v>100</v>
      </c>
    </row>
    <row r="25" spans="1:10" ht="50.25" customHeight="1">
      <c r="A25" s="491"/>
      <c r="B25" s="13"/>
      <c r="C25" s="835">
        <v>2320</v>
      </c>
      <c r="D25" s="743" t="s">
        <v>44</v>
      </c>
      <c r="E25" s="852">
        <v>19365.51</v>
      </c>
      <c r="F25" s="852">
        <v>19365.51</v>
      </c>
      <c r="G25" s="852"/>
      <c r="H25" s="52"/>
      <c r="I25" s="708"/>
      <c r="J25" s="52"/>
    </row>
    <row r="26" spans="1:10" ht="41.25" customHeight="1">
      <c r="A26" s="688"/>
      <c r="B26" s="1"/>
      <c r="C26" s="835">
        <v>2580</v>
      </c>
      <c r="D26" s="853" t="s">
        <v>364</v>
      </c>
      <c r="E26" s="852"/>
      <c r="F26" s="852"/>
      <c r="G26" s="852"/>
      <c r="H26" s="52">
        <v>19365.51</v>
      </c>
      <c r="I26" s="52">
        <v>19365.51</v>
      </c>
      <c r="J26" s="52"/>
    </row>
    <row r="27" spans="1:10" ht="32.25" customHeight="1">
      <c r="A27" s="67">
        <v>921</v>
      </c>
      <c r="B27" s="57"/>
      <c r="C27" s="57"/>
      <c r="D27" s="842" t="s">
        <v>571</v>
      </c>
      <c r="E27" s="734">
        <f>SUM(E28)</f>
        <v>100000</v>
      </c>
      <c r="F27" s="734">
        <f>SUM(F28)</f>
        <v>100000</v>
      </c>
      <c r="G27" s="734">
        <f>F27*100/E27</f>
        <v>100</v>
      </c>
      <c r="H27" s="734">
        <f>SUM(H28)</f>
        <v>100000</v>
      </c>
      <c r="I27" s="734">
        <f>SUM(I28)</f>
        <v>100000</v>
      </c>
      <c r="J27" s="33">
        <f>I27*100/H27</f>
        <v>100</v>
      </c>
    </row>
    <row r="28" spans="1:10" ht="25.5" customHeight="1">
      <c r="A28" s="32"/>
      <c r="B28" s="23">
        <v>92116</v>
      </c>
      <c r="C28" s="46"/>
      <c r="D28" s="854" t="s">
        <v>440</v>
      </c>
      <c r="E28" s="855">
        <f>SUM(E29)</f>
        <v>100000</v>
      </c>
      <c r="F28" s="855">
        <f>SUM(F29)</f>
        <v>100000</v>
      </c>
      <c r="G28" s="834">
        <f>F28*100/E28</f>
        <v>100</v>
      </c>
      <c r="H28" s="855">
        <f>SUM(H30)</f>
        <v>100000</v>
      </c>
      <c r="I28" s="855">
        <f>SUM(I30)</f>
        <v>100000</v>
      </c>
      <c r="J28" s="52">
        <f>I28*100/H28</f>
        <v>100</v>
      </c>
    </row>
    <row r="29" spans="1:10" ht="61.5" customHeight="1">
      <c r="A29" s="32"/>
      <c r="B29" s="29"/>
      <c r="C29" s="75">
        <v>2320</v>
      </c>
      <c r="D29" s="743" t="s">
        <v>44</v>
      </c>
      <c r="E29" s="856">
        <v>100000</v>
      </c>
      <c r="F29" s="856">
        <v>100000</v>
      </c>
      <c r="G29" s="856"/>
      <c r="H29" s="52"/>
      <c r="I29" s="708"/>
      <c r="J29" s="52"/>
    </row>
    <row r="30" spans="1:10" ht="35.25" customHeight="1">
      <c r="A30" s="76"/>
      <c r="B30" s="77"/>
      <c r="C30" s="434">
        <v>2480</v>
      </c>
      <c r="D30" s="740" t="s">
        <v>134</v>
      </c>
      <c r="E30" s="855"/>
      <c r="F30" s="855"/>
      <c r="G30" s="855"/>
      <c r="H30" s="52">
        <v>100000</v>
      </c>
      <c r="I30" s="52">
        <v>100000</v>
      </c>
      <c r="J30" s="52"/>
    </row>
    <row r="31" spans="1:10" ht="23.25" customHeight="1">
      <c r="A31" s="3" t="s">
        <v>29</v>
      </c>
      <c r="B31" s="857"/>
      <c r="C31" s="858"/>
      <c r="D31" s="499"/>
      <c r="E31" s="859">
        <f>E23+E27</f>
        <v>119365.51</v>
      </c>
      <c r="F31" s="859">
        <f>F23+F27</f>
        <v>119365.51</v>
      </c>
      <c r="G31" s="859">
        <f>F31*100/E31</f>
        <v>100</v>
      </c>
      <c r="H31" s="859">
        <f>H23+H27</f>
        <v>119365.51</v>
      </c>
      <c r="I31" s="859">
        <f>I23+I27</f>
        <v>119365.51</v>
      </c>
      <c r="J31" s="33">
        <f>I31*100/H31</f>
        <v>100</v>
      </c>
    </row>
    <row r="32" spans="1:10" s="456" customFormat="1" ht="24" customHeight="1">
      <c r="A32" s="49" t="s">
        <v>171</v>
      </c>
      <c r="B32" s="857"/>
      <c r="C32" s="858"/>
      <c r="D32" s="860"/>
      <c r="E32" s="861">
        <f>SUM(E22,E31)</f>
        <v>1406749.1400000001</v>
      </c>
      <c r="F32" s="862">
        <f>SUM(F22,F31)</f>
        <v>1393011.49</v>
      </c>
      <c r="G32" s="862">
        <f>F32*100/E32</f>
        <v>99.02344706604903</v>
      </c>
      <c r="H32" s="862">
        <f>SUM(H22,H31)</f>
        <v>1406749.1400000001</v>
      </c>
      <c r="I32" s="862">
        <f>SUM(I22,I31)</f>
        <v>1393011.49</v>
      </c>
      <c r="J32" s="33">
        <f>I32*100/H32</f>
        <v>99.02344706604903</v>
      </c>
    </row>
    <row r="33" spans="4:7" ht="15">
      <c r="D33" s="863"/>
      <c r="E33" s="456"/>
      <c r="F33" s="456"/>
      <c r="G33" s="456"/>
    </row>
    <row r="34" spans="4:7" ht="15">
      <c r="D34" s="863"/>
      <c r="E34" s="864"/>
      <c r="F34" s="864"/>
      <c r="G34" s="864"/>
    </row>
    <row r="35" spans="4:7" ht="12.75">
      <c r="D35" s="863"/>
      <c r="E35" s="48"/>
      <c r="F35" s="48"/>
      <c r="G35" s="48"/>
    </row>
    <row r="36" spans="4:7" ht="12.75">
      <c r="D36" s="863"/>
      <c r="E36" s="48"/>
      <c r="F36" s="48"/>
      <c r="G36" s="48"/>
    </row>
    <row r="37" ht="12.75">
      <c r="D37" s="863"/>
    </row>
    <row r="38" ht="11.25" customHeight="1">
      <c r="D38" s="863"/>
    </row>
    <row r="39" ht="12.75" hidden="1">
      <c r="D39" s="863"/>
    </row>
    <row r="40" ht="12" customHeight="1">
      <c r="D40" s="863"/>
    </row>
    <row r="41" ht="12.75">
      <c r="D41" s="863"/>
    </row>
    <row r="42" ht="12.75">
      <c r="D42" s="863"/>
    </row>
    <row r="43" ht="12.75">
      <c r="D43" s="863"/>
    </row>
    <row r="44" ht="12.75">
      <c r="D44" s="863"/>
    </row>
    <row r="45" ht="12.75">
      <c r="D45" s="863"/>
    </row>
    <row r="46" ht="12.75">
      <c r="D46" s="863"/>
    </row>
    <row r="47" ht="12.75">
      <c r="D47" s="863"/>
    </row>
    <row r="48" ht="12.75">
      <c r="D48" s="863"/>
    </row>
    <row r="49" ht="12.75">
      <c r="D49" s="863"/>
    </row>
    <row r="50" ht="12.75">
      <c r="D50" s="863"/>
    </row>
    <row r="51" ht="12.75">
      <c r="D51" s="863"/>
    </row>
    <row r="52" ht="12.75">
      <c r="D52" s="863"/>
    </row>
    <row r="53" ht="12.75">
      <c r="D53" s="863"/>
    </row>
    <row r="54" ht="12.75">
      <c r="D54" s="863"/>
    </row>
    <row r="55" ht="12.75">
      <c r="D55" s="863"/>
    </row>
    <row r="56" ht="12.75">
      <c r="D56" s="863"/>
    </row>
    <row r="57" ht="12.75">
      <c r="D57" s="863"/>
    </row>
    <row r="58" ht="12.75">
      <c r="D58" s="863"/>
    </row>
    <row r="59" ht="12.75">
      <c r="D59" s="863"/>
    </row>
    <row r="60" ht="12.75">
      <c r="D60" s="863"/>
    </row>
    <row r="61" ht="12.75">
      <c r="D61" s="863"/>
    </row>
    <row r="62" ht="12.75">
      <c r="D62" s="863"/>
    </row>
    <row r="63" ht="12.75">
      <c r="D63" s="863"/>
    </row>
    <row r="64" ht="12.75">
      <c r="D64" s="863"/>
    </row>
    <row r="65" ht="12.75">
      <c r="D65" s="863"/>
    </row>
    <row r="66" ht="12.75">
      <c r="D66" s="863"/>
    </row>
  </sheetData>
  <printOptions/>
  <pageMargins left="0.1968503937007874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E46" sqref="E46"/>
    </sheetView>
  </sheetViews>
  <sheetFormatPr defaultColWidth="9.140625" defaultRowHeight="12.75"/>
  <cols>
    <col min="1" max="1" width="5.28125" style="216" customWidth="1"/>
    <col min="2" max="2" width="6.57421875" style="216" customWidth="1"/>
    <col min="3" max="3" width="5.421875" style="216" customWidth="1"/>
    <col min="4" max="4" width="30.421875" style="216" customWidth="1"/>
    <col min="5" max="5" width="14.8515625" style="216" customWidth="1"/>
    <col min="6" max="6" width="16.57421875" style="216" customWidth="1"/>
    <col min="7" max="7" width="19.28125" style="216" customWidth="1"/>
    <col min="8" max="8" width="9.140625" style="216" customWidth="1"/>
    <col min="9" max="9" width="10.00390625" style="216" bestFit="1" customWidth="1"/>
    <col min="10" max="10" width="10.00390625" style="266" bestFit="1" customWidth="1"/>
    <col min="11" max="16384" width="9.140625" style="216" customWidth="1"/>
  </cols>
  <sheetData>
    <row r="1" spans="1:10" s="427" customFormat="1" ht="19.5">
      <c r="A1" s="753"/>
      <c r="B1" s="753"/>
      <c r="C1" s="753"/>
      <c r="D1" s="753"/>
      <c r="F1" s="603" t="s">
        <v>30</v>
      </c>
      <c r="G1" s="754"/>
      <c r="J1" s="753"/>
    </row>
    <row r="2" spans="1:10" s="427" customFormat="1" ht="18.75">
      <c r="A2" s="753"/>
      <c r="B2" s="753"/>
      <c r="C2" s="753"/>
      <c r="D2" s="753"/>
      <c r="F2" s="245" t="s">
        <v>620</v>
      </c>
      <c r="G2" s="754"/>
      <c r="J2" s="753"/>
    </row>
    <row r="3" spans="1:10" s="427" customFormat="1" ht="18.75">
      <c r="A3" s="753"/>
      <c r="B3" s="753"/>
      <c r="C3" s="753"/>
      <c r="D3" s="753"/>
      <c r="F3" s="245" t="s">
        <v>202</v>
      </c>
      <c r="G3" s="754"/>
      <c r="J3" s="753"/>
    </row>
    <row r="4" spans="1:10" s="427" customFormat="1" ht="18.75">
      <c r="A4" s="753"/>
      <c r="B4" s="753"/>
      <c r="C4" s="753"/>
      <c r="D4" s="753"/>
      <c r="F4" s="245" t="s">
        <v>621</v>
      </c>
      <c r="G4" s="754"/>
      <c r="J4" s="753"/>
    </row>
    <row r="5" spans="1:10" s="427" customFormat="1" ht="20.25">
      <c r="A5" s="753"/>
      <c r="B5" s="753"/>
      <c r="C5" s="753"/>
      <c r="D5" s="753"/>
      <c r="F5" s="755"/>
      <c r="G5" s="754"/>
      <c r="J5" s="753"/>
    </row>
    <row r="6" spans="1:8" ht="12.75">
      <c r="A6" s="266"/>
      <c r="B6" s="266"/>
      <c r="C6" s="266"/>
      <c r="D6" s="266"/>
      <c r="H6" s="756"/>
    </row>
    <row r="7" spans="1:10" s="427" customFormat="1" ht="18.75">
      <c r="A7" s="652" t="s">
        <v>31</v>
      </c>
      <c r="B7" s="123"/>
      <c r="C7" s="123"/>
      <c r="D7" s="123"/>
      <c r="E7" s="728"/>
      <c r="F7" s="728"/>
      <c r="G7" s="728"/>
      <c r="H7" s="757"/>
      <c r="J7" s="753"/>
    </row>
    <row r="8" spans="1:10" s="427" customFormat="1" ht="18.75">
      <c r="A8" s="652" t="s">
        <v>32</v>
      </c>
      <c r="B8" s="123"/>
      <c r="C8" s="123"/>
      <c r="D8" s="123"/>
      <c r="E8" s="728"/>
      <c r="F8" s="728"/>
      <c r="G8" s="728"/>
      <c r="H8" s="757"/>
      <c r="J8" s="753"/>
    </row>
    <row r="9" spans="1:10" s="427" customFormat="1" ht="18.75">
      <c r="A9" s="701" t="s">
        <v>33</v>
      </c>
      <c r="B9" s="758"/>
      <c r="C9" s="703"/>
      <c r="D9" s="704"/>
      <c r="E9" s="728"/>
      <c r="F9" s="728"/>
      <c r="G9" s="728"/>
      <c r="H9" s="757"/>
      <c r="J9" s="753"/>
    </row>
    <row r="10" spans="1:10" s="427" customFormat="1" ht="18.75">
      <c r="A10" s="701"/>
      <c r="B10" s="758"/>
      <c r="C10" s="703"/>
      <c r="D10" s="704"/>
      <c r="E10" s="728"/>
      <c r="F10" s="728"/>
      <c r="G10" s="728"/>
      <c r="H10" s="757"/>
      <c r="J10" s="753"/>
    </row>
    <row r="11" spans="1:10" s="427" customFormat="1" ht="18.75">
      <c r="A11" s="759"/>
      <c r="B11" s="760"/>
      <c r="C11" s="761"/>
      <c r="D11" s="762"/>
      <c r="E11" s="757"/>
      <c r="F11" s="458" t="s">
        <v>308</v>
      </c>
      <c r="G11" s="757"/>
      <c r="H11" s="757"/>
      <c r="J11" s="753"/>
    </row>
    <row r="12" spans="1:10" s="427" customFormat="1" ht="12.75">
      <c r="A12" s="763" t="s">
        <v>307</v>
      </c>
      <c r="B12" s="763"/>
      <c r="C12" s="763"/>
      <c r="D12" s="764"/>
      <c r="E12" s="765" t="s">
        <v>307</v>
      </c>
      <c r="F12" s="766" t="s">
        <v>280</v>
      </c>
      <c r="G12" s="767" t="s">
        <v>307</v>
      </c>
      <c r="H12" s="757"/>
      <c r="J12" s="753"/>
    </row>
    <row r="13" spans="1:10" s="427" customFormat="1" ht="81" customHeight="1">
      <c r="A13" s="768" t="s">
        <v>309</v>
      </c>
      <c r="B13" s="768" t="s">
        <v>310</v>
      </c>
      <c r="C13" s="768" t="s">
        <v>435</v>
      </c>
      <c r="D13" s="769" t="s">
        <v>245</v>
      </c>
      <c r="E13" s="770" t="s">
        <v>34</v>
      </c>
      <c r="F13" s="771" t="s">
        <v>35</v>
      </c>
      <c r="G13" s="772" t="s">
        <v>36</v>
      </c>
      <c r="H13" s="773"/>
      <c r="J13" s="753"/>
    </row>
    <row r="14" spans="1:10" s="427" customFormat="1" ht="23.25" customHeight="1">
      <c r="A14" s="983" t="s">
        <v>465</v>
      </c>
      <c r="B14" s="984"/>
      <c r="C14" s="984"/>
      <c r="D14" s="985"/>
      <c r="E14" s="774">
        <f>E15</f>
        <v>630300</v>
      </c>
      <c r="F14" s="774">
        <f>F15</f>
        <v>383780</v>
      </c>
      <c r="G14" s="774">
        <f>G15</f>
        <v>246520</v>
      </c>
      <c r="H14" s="775"/>
      <c r="J14" s="753"/>
    </row>
    <row r="15" spans="1:10" s="427" customFormat="1" ht="21" customHeight="1">
      <c r="A15" s="776">
        <v>852</v>
      </c>
      <c r="B15" s="777" t="s">
        <v>307</v>
      </c>
      <c r="C15" s="777"/>
      <c r="D15" s="778" t="s">
        <v>422</v>
      </c>
      <c r="E15" s="779">
        <f>E16+E18+E20</f>
        <v>630300</v>
      </c>
      <c r="F15" s="779">
        <f>F16+F18+F20</f>
        <v>383780</v>
      </c>
      <c r="G15" s="779">
        <f>G16+G18+G20</f>
        <v>246520</v>
      </c>
      <c r="H15" s="775"/>
      <c r="J15" s="753"/>
    </row>
    <row r="16" spans="1:10" s="427" customFormat="1" ht="18.75" customHeight="1">
      <c r="A16" s="780"/>
      <c r="B16" s="781">
        <v>85203</v>
      </c>
      <c r="C16" s="782"/>
      <c r="D16" s="783" t="s">
        <v>469</v>
      </c>
      <c r="E16" s="784">
        <f>SUM(E17:E17)</f>
        <v>3000</v>
      </c>
      <c r="F16" s="784">
        <f>SUM(F17:F17)</f>
        <v>2850</v>
      </c>
      <c r="G16" s="784">
        <f>SUM(G17:G17)</f>
        <v>150</v>
      </c>
      <c r="H16" s="775"/>
      <c r="J16" s="753"/>
    </row>
    <row r="17" spans="1:10" s="427" customFormat="1" ht="23.25" customHeight="1">
      <c r="A17" s="785"/>
      <c r="B17" s="786"/>
      <c r="C17" s="787" t="s">
        <v>470</v>
      </c>
      <c r="D17" s="788" t="s">
        <v>471</v>
      </c>
      <c r="E17" s="789">
        <v>3000</v>
      </c>
      <c r="F17" s="789">
        <f>E17-G17</f>
        <v>2850</v>
      </c>
      <c r="G17" s="790">
        <f>E17*5/100</f>
        <v>150</v>
      </c>
      <c r="H17" s="775"/>
      <c r="J17" s="753"/>
    </row>
    <row r="18" spans="1:10" s="427" customFormat="1" ht="57" customHeight="1">
      <c r="A18" s="791"/>
      <c r="B18" s="782">
        <v>85212</v>
      </c>
      <c r="C18" s="792"/>
      <c r="D18" s="793" t="s">
        <v>37</v>
      </c>
      <c r="E18" s="794">
        <f>E19</f>
        <v>614300</v>
      </c>
      <c r="F18" s="794">
        <f>F19</f>
        <v>368580</v>
      </c>
      <c r="G18" s="794">
        <f>G19</f>
        <v>245720</v>
      </c>
      <c r="H18" s="795"/>
      <c r="I18" s="796"/>
      <c r="J18" s="753"/>
    </row>
    <row r="19" spans="1:11" s="798" customFormat="1" ht="36.75" customHeight="1">
      <c r="A19" s="785"/>
      <c r="B19" s="786"/>
      <c r="C19" s="787" t="s">
        <v>38</v>
      </c>
      <c r="D19" s="788" t="s">
        <v>39</v>
      </c>
      <c r="E19" s="789">
        <v>614300</v>
      </c>
      <c r="F19" s="789">
        <f>E19-G19</f>
        <v>368580</v>
      </c>
      <c r="G19" s="790">
        <f>E19*40/100</f>
        <v>245720</v>
      </c>
      <c r="H19" s="797"/>
      <c r="J19" s="799"/>
      <c r="K19" s="800"/>
    </row>
    <row r="20" spans="1:11" s="805" customFormat="1" ht="27" customHeight="1">
      <c r="A20" s="801"/>
      <c r="B20" s="802">
        <v>85228</v>
      </c>
      <c r="C20" s="803" t="s">
        <v>307</v>
      </c>
      <c r="D20" s="783" t="s">
        <v>504</v>
      </c>
      <c r="E20" s="784">
        <f>SUM(E21:E21)</f>
        <v>13000</v>
      </c>
      <c r="F20" s="784">
        <f>SUM(F21:F21)</f>
        <v>12350</v>
      </c>
      <c r="G20" s="784">
        <f>SUM(G21:G21)</f>
        <v>650</v>
      </c>
      <c r="H20" s="804"/>
      <c r="J20" s="799"/>
      <c r="K20" s="800"/>
    </row>
    <row r="21" spans="1:11" s="798" customFormat="1" ht="30" customHeight="1">
      <c r="A21" s="806"/>
      <c r="B21" s="807"/>
      <c r="C21" s="808" t="s">
        <v>470</v>
      </c>
      <c r="D21" s="809" t="s">
        <v>471</v>
      </c>
      <c r="E21" s="789">
        <v>13000</v>
      </c>
      <c r="F21" s="789">
        <f>E21-G21</f>
        <v>12350</v>
      </c>
      <c r="G21" s="790">
        <f>E21*5/100</f>
        <v>650</v>
      </c>
      <c r="H21" s="797"/>
      <c r="J21" s="799"/>
      <c r="K21" s="800"/>
    </row>
    <row r="22" spans="1:11" s="798" customFormat="1" ht="24.75" customHeight="1">
      <c r="A22" s="983" t="s">
        <v>255</v>
      </c>
      <c r="B22" s="984"/>
      <c r="C22" s="984"/>
      <c r="D22" s="985"/>
      <c r="E22" s="774">
        <f>E23+E32+E37</f>
        <v>3151684</v>
      </c>
      <c r="F22" s="774">
        <f>F23+F32+F37</f>
        <v>2371099.8</v>
      </c>
      <c r="G22" s="774">
        <f>G23+G32+G37</f>
        <v>780584.2</v>
      </c>
      <c r="H22" s="797"/>
      <c r="J22" s="799"/>
      <c r="K22" s="800"/>
    </row>
    <row r="23" spans="1:11" s="798" customFormat="1" ht="23.25" customHeight="1">
      <c r="A23" s="776">
        <v>700</v>
      </c>
      <c r="B23" s="777"/>
      <c r="C23" s="777"/>
      <c r="D23" s="810" t="s">
        <v>372</v>
      </c>
      <c r="E23" s="779">
        <f>SUM(E24)</f>
        <v>3115000</v>
      </c>
      <c r="F23" s="779">
        <f>SUM(F24)</f>
        <v>2336250</v>
      </c>
      <c r="G23" s="779">
        <f>SUM(G24)</f>
        <v>778750</v>
      </c>
      <c r="H23" s="797"/>
      <c r="J23" s="799"/>
      <c r="K23" s="800"/>
    </row>
    <row r="24" spans="1:11" s="798" customFormat="1" ht="23.25" customHeight="1">
      <c r="A24" s="811"/>
      <c r="B24" s="803">
        <v>70005</v>
      </c>
      <c r="C24" s="803"/>
      <c r="D24" s="812" t="s">
        <v>342</v>
      </c>
      <c r="E24" s="784">
        <f>SUM(E25:E31)</f>
        <v>3115000</v>
      </c>
      <c r="F24" s="784">
        <f>SUM(F25:F31)</f>
        <v>2336250</v>
      </c>
      <c r="G24" s="784">
        <f>SUM(G25:G31)</f>
        <v>778750</v>
      </c>
      <c r="H24" s="797"/>
      <c r="J24" s="799"/>
      <c r="K24" s="800"/>
    </row>
    <row r="25" spans="1:11" s="805" customFormat="1" ht="36.75" customHeight="1">
      <c r="A25" s="806"/>
      <c r="B25" s="813"/>
      <c r="C25" s="814" t="s">
        <v>472</v>
      </c>
      <c r="D25" s="815" t="s">
        <v>380</v>
      </c>
      <c r="E25" s="789">
        <v>38000</v>
      </c>
      <c r="F25" s="789">
        <f aca="true" t="shared" si="0" ref="F25:F31">E25-G25</f>
        <v>28500</v>
      </c>
      <c r="G25" s="790">
        <f aca="true" t="shared" si="1" ref="G25:G31">E25*25/100</f>
        <v>9500</v>
      </c>
      <c r="H25" s="804"/>
      <c r="J25" s="799"/>
      <c r="K25" s="800"/>
    </row>
    <row r="26" spans="1:11" s="805" customFormat="1" ht="36.75" customHeight="1">
      <c r="A26" s="806"/>
      <c r="B26" s="813"/>
      <c r="C26" s="814" t="s">
        <v>40</v>
      </c>
      <c r="D26" s="815" t="s">
        <v>381</v>
      </c>
      <c r="E26" s="789">
        <v>2862000</v>
      </c>
      <c r="F26" s="789">
        <f t="shared" si="0"/>
        <v>2146500</v>
      </c>
      <c r="G26" s="790">
        <f t="shared" si="1"/>
        <v>715500</v>
      </c>
      <c r="H26" s="804"/>
      <c r="J26" s="799"/>
      <c r="K26" s="800"/>
    </row>
    <row r="27" spans="1:11" s="427" customFormat="1" ht="76.5" customHeight="1">
      <c r="A27" s="806"/>
      <c r="B27" s="813"/>
      <c r="C27" s="814" t="s">
        <v>473</v>
      </c>
      <c r="D27" s="815" t="s">
        <v>399</v>
      </c>
      <c r="E27" s="789">
        <v>30000</v>
      </c>
      <c r="F27" s="789">
        <f t="shared" si="0"/>
        <v>22500</v>
      </c>
      <c r="G27" s="790">
        <f t="shared" si="1"/>
        <v>7500</v>
      </c>
      <c r="H27" s="816"/>
      <c r="J27" s="799"/>
      <c r="K27" s="800"/>
    </row>
    <row r="28" spans="1:11" s="427" customFormat="1" ht="42" customHeight="1">
      <c r="A28" s="806"/>
      <c r="B28" s="813"/>
      <c r="C28" s="814" t="s">
        <v>314</v>
      </c>
      <c r="D28" s="815" t="s">
        <v>315</v>
      </c>
      <c r="E28" s="789">
        <v>100000</v>
      </c>
      <c r="F28" s="789">
        <f t="shared" si="0"/>
        <v>75000</v>
      </c>
      <c r="G28" s="790">
        <f t="shared" si="1"/>
        <v>25000</v>
      </c>
      <c r="H28" s="816"/>
      <c r="J28" s="799"/>
      <c r="K28" s="800"/>
    </row>
    <row r="29" spans="1:11" s="805" customFormat="1" ht="42" customHeight="1">
      <c r="A29" s="806"/>
      <c r="B29" s="813"/>
      <c r="C29" s="814" t="s">
        <v>316</v>
      </c>
      <c r="D29" s="815" t="s">
        <v>317</v>
      </c>
      <c r="E29" s="789">
        <v>50000</v>
      </c>
      <c r="F29" s="789">
        <f t="shared" si="0"/>
        <v>37500</v>
      </c>
      <c r="G29" s="790">
        <f t="shared" si="1"/>
        <v>12500</v>
      </c>
      <c r="H29" s="817"/>
      <c r="J29" s="799"/>
      <c r="K29" s="800"/>
    </row>
    <row r="30" spans="1:11" s="427" customFormat="1" ht="27" customHeight="1">
      <c r="A30" s="806"/>
      <c r="B30" s="813"/>
      <c r="C30" s="814" t="s">
        <v>334</v>
      </c>
      <c r="D30" s="818" t="s">
        <v>379</v>
      </c>
      <c r="E30" s="789">
        <v>30000</v>
      </c>
      <c r="F30" s="789">
        <f t="shared" si="0"/>
        <v>22500</v>
      </c>
      <c r="G30" s="790">
        <f t="shared" si="1"/>
        <v>7500</v>
      </c>
      <c r="H30" s="775"/>
      <c r="J30" s="799"/>
      <c r="K30" s="800"/>
    </row>
    <row r="31" spans="1:11" s="427" customFormat="1" ht="27" customHeight="1">
      <c r="A31" s="806"/>
      <c r="B31" s="813"/>
      <c r="C31" s="808" t="s">
        <v>318</v>
      </c>
      <c r="D31" s="809" t="s">
        <v>319</v>
      </c>
      <c r="E31" s="789">
        <v>5000</v>
      </c>
      <c r="F31" s="789">
        <f t="shared" si="0"/>
        <v>3750</v>
      </c>
      <c r="G31" s="790">
        <f t="shared" si="1"/>
        <v>1250</v>
      </c>
      <c r="H31" s="775"/>
      <c r="J31" s="799"/>
      <c r="K31" s="800"/>
    </row>
    <row r="32" spans="1:11" s="427" customFormat="1" ht="28.5" customHeight="1">
      <c r="A32" s="776">
        <v>754</v>
      </c>
      <c r="B32" s="777"/>
      <c r="C32" s="777"/>
      <c r="D32" s="810" t="s">
        <v>345</v>
      </c>
      <c r="E32" s="779">
        <f>SUM(E33)</f>
        <v>9650</v>
      </c>
      <c r="F32" s="779">
        <f>SUM(F33)</f>
        <v>9167.5</v>
      </c>
      <c r="G32" s="779">
        <f>SUM(G33)</f>
        <v>482.5</v>
      </c>
      <c r="H32" s="795"/>
      <c r="J32" s="799"/>
      <c r="K32" s="800"/>
    </row>
    <row r="33" spans="1:11" s="427" customFormat="1" ht="29.25" customHeight="1">
      <c r="A33" s="811"/>
      <c r="B33" s="802">
        <v>75411</v>
      </c>
      <c r="C33" s="803"/>
      <c r="D33" s="812" t="s">
        <v>371</v>
      </c>
      <c r="E33" s="784">
        <f>SUM(E34:E36)</f>
        <v>9650</v>
      </c>
      <c r="F33" s="784">
        <f>SUM(F34:F36)</f>
        <v>9167.5</v>
      </c>
      <c r="G33" s="784">
        <f>SUM(G34:G36)</f>
        <v>482.5</v>
      </c>
      <c r="H33" s="816"/>
      <c r="I33" s="796"/>
      <c r="J33" s="799"/>
      <c r="K33" s="800"/>
    </row>
    <row r="34" spans="1:11" s="805" customFormat="1" ht="24" customHeight="1">
      <c r="A34" s="819"/>
      <c r="B34" s="820"/>
      <c r="C34" s="821" t="s">
        <v>467</v>
      </c>
      <c r="D34" s="788" t="s">
        <v>468</v>
      </c>
      <c r="E34" s="431">
        <v>58</v>
      </c>
      <c r="F34" s="431">
        <f>E34-G34</f>
        <v>55.1</v>
      </c>
      <c r="G34" s="790">
        <f>E34*5/100</f>
        <v>2.9</v>
      </c>
      <c r="H34" s="817"/>
      <c r="I34" s="800"/>
      <c r="J34" s="799"/>
      <c r="K34" s="800"/>
    </row>
    <row r="35" spans="1:11" s="805" customFormat="1" ht="81" customHeight="1">
      <c r="A35" s="819"/>
      <c r="B35" s="822"/>
      <c r="C35" s="823" t="s">
        <v>473</v>
      </c>
      <c r="D35" s="809" t="s">
        <v>399</v>
      </c>
      <c r="E35" s="431">
        <v>9532</v>
      </c>
      <c r="F35" s="431">
        <f>E35-G35</f>
        <v>9055.4</v>
      </c>
      <c r="G35" s="790">
        <f>E35*5/100</f>
        <v>476.6</v>
      </c>
      <c r="H35" s="817"/>
      <c r="I35" s="800"/>
      <c r="J35" s="799"/>
      <c r="K35" s="800"/>
    </row>
    <row r="36" spans="1:11" s="805" customFormat="1" ht="27" customHeight="1">
      <c r="A36" s="806"/>
      <c r="B36" s="813"/>
      <c r="C36" s="808" t="s">
        <v>318</v>
      </c>
      <c r="D36" s="809" t="s">
        <v>319</v>
      </c>
      <c r="E36" s="431">
        <v>60</v>
      </c>
      <c r="F36" s="431">
        <f>E36-G36</f>
        <v>57</v>
      </c>
      <c r="G36" s="790">
        <f>E36*5/100</f>
        <v>3</v>
      </c>
      <c r="H36" s="817"/>
      <c r="I36" s="800"/>
      <c r="J36" s="799"/>
      <c r="K36" s="800"/>
    </row>
    <row r="37" spans="1:11" s="805" customFormat="1" ht="30.75" customHeight="1">
      <c r="A37" s="776">
        <v>853</v>
      </c>
      <c r="B37" s="777"/>
      <c r="C37" s="777"/>
      <c r="D37" s="673" t="s">
        <v>24</v>
      </c>
      <c r="E37" s="779">
        <f aca="true" t="shared" si="2" ref="E37:G38">SUM(E38)</f>
        <v>27034</v>
      </c>
      <c r="F37" s="779">
        <f t="shared" si="2"/>
        <v>25682.3</v>
      </c>
      <c r="G37" s="779">
        <f t="shared" si="2"/>
        <v>1351.7</v>
      </c>
      <c r="H37" s="817"/>
      <c r="I37" s="800"/>
      <c r="J37" s="799"/>
      <c r="K37" s="800"/>
    </row>
    <row r="38" spans="1:11" s="805" customFormat="1" ht="28.5" customHeight="1">
      <c r="A38" s="811"/>
      <c r="B38" s="24">
        <v>85321</v>
      </c>
      <c r="C38" s="824"/>
      <c r="D38" s="825" t="s">
        <v>130</v>
      </c>
      <c r="E38" s="784">
        <f t="shared" si="2"/>
        <v>27034</v>
      </c>
      <c r="F38" s="784">
        <f t="shared" si="2"/>
        <v>25682.3</v>
      </c>
      <c r="G38" s="784">
        <f t="shared" si="2"/>
        <v>1351.7</v>
      </c>
      <c r="H38" s="817"/>
      <c r="I38" s="800"/>
      <c r="J38" s="799"/>
      <c r="K38" s="800"/>
    </row>
    <row r="39" spans="1:11" s="805" customFormat="1" ht="24.75" customHeight="1">
      <c r="A39" s="819"/>
      <c r="B39" s="820"/>
      <c r="C39" s="821" t="s">
        <v>467</v>
      </c>
      <c r="D39" s="788" t="s">
        <v>468</v>
      </c>
      <c r="E39" s="431">
        <v>27034</v>
      </c>
      <c r="F39" s="431">
        <f>E39-G39</f>
        <v>25682.3</v>
      </c>
      <c r="G39" s="790">
        <f>E39*5/100</f>
        <v>1351.7</v>
      </c>
      <c r="H39" s="817"/>
      <c r="I39" s="800"/>
      <c r="J39" s="799"/>
      <c r="K39" s="800"/>
    </row>
    <row r="40" spans="1:11" s="805" customFormat="1" ht="24.75" customHeight="1">
      <c r="A40" s="986" t="s">
        <v>214</v>
      </c>
      <c r="B40" s="987"/>
      <c r="C40" s="987"/>
      <c r="D40" s="988"/>
      <c r="E40" s="779">
        <f>E22+E14</f>
        <v>3781984</v>
      </c>
      <c r="F40" s="779">
        <f>F22+F14</f>
        <v>2754879.8</v>
      </c>
      <c r="G40" s="779">
        <f>G22+G14</f>
        <v>1027104.2</v>
      </c>
      <c r="H40" s="817"/>
      <c r="I40" s="800"/>
      <c r="J40" s="799"/>
      <c r="K40" s="800"/>
    </row>
    <row r="41" s="427" customFormat="1" ht="12.75">
      <c r="J41" s="753"/>
    </row>
    <row r="42" spans="4:10" s="427" customFormat="1" ht="12.75">
      <c r="D42" s="826"/>
      <c r="J42" s="753"/>
    </row>
  </sheetData>
  <mergeCells count="3">
    <mergeCell ref="A14:D14"/>
    <mergeCell ref="A22:D22"/>
    <mergeCell ref="A40:D40"/>
  </mergeCells>
  <printOptions/>
  <pageMargins left="0.3937007874015748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70"/>
  <sheetViews>
    <sheetView workbookViewId="0" topLeftCell="A1">
      <selection activeCell="N13" sqref="N13"/>
    </sheetView>
  </sheetViews>
  <sheetFormatPr defaultColWidth="9.140625" defaultRowHeight="12.75"/>
  <cols>
    <col min="1" max="1" width="5.140625" style="40" customWidth="1"/>
    <col min="2" max="2" width="6.421875" style="40" customWidth="1"/>
    <col min="3" max="3" width="4.8515625" style="40" customWidth="1"/>
    <col min="4" max="4" width="23.28125" style="244" customWidth="1"/>
    <col min="5" max="5" width="12.00390625" style="40" customWidth="1"/>
    <col min="6" max="6" width="12.421875" style="40" customWidth="1"/>
    <col min="7" max="7" width="6.421875" style="40" customWidth="1"/>
    <col min="8" max="8" width="12.421875" style="40" customWidth="1"/>
    <col min="9" max="9" width="11.8515625" style="40" customWidth="1"/>
    <col min="10" max="10" width="7.57421875" style="40" customWidth="1"/>
    <col min="11" max="16384" width="9.140625" style="40" customWidth="1"/>
  </cols>
  <sheetData>
    <row r="2" spans="5:8" ht="19.5">
      <c r="E2" s="603"/>
      <c r="F2" s="603"/>
      <c r="G2" s="603"/>
      <c r="H2" s="603" t="s">
        <v>26</v>
      </c>
    </row>
    <row r="3" spans="5:8" ht="19.5">
      <c r="E3" s="603"/>
      <c r="F3" s="603"/>
      <c r="G3" s="603"/>
      <c r="H3" s="245" t="s">
        <v>620</v>
      </c>
    </row>
    <row r="4" spans="5:8" ht="19.5">
      <c r="E4" s="603"/>
      <c r="F4" s="603"/>
      <c r="G4" s="603"/>
      <c r="H4" s="245" t="s">
        <v>202</v>
      </c>
    </row>
    <row r="5" spans="5:8" ht="19.5">
      <c r="E5" s="603"/>
      <c r="F5" s="603"/>
      <c r="G5" s="603"/>
      <c r="H5" s="245" t="s">
        <v>621</v>
      </c>
    </row>
    <row r="6" spans="5:8" ht="19.5">
      <c r="E6" s="603"/>
      <c r="F6" s="603"/>
      <c r="G6" s="603"/>
      <c r="H6" s="603"/>
    </row>
    <row r="7" spans="1:7" ht="12.75">
      <c r="A7" s="123"/>
      <c r="B7" s="123"/>
      <c r="C7" s="123"/>
      <c r="E7" s="728"/>
      <c r="F7" s="728"/>
      <c r="G7" s="728"/>
    </row>
    <row r="8" spans="1:7" ht="18.75">
      <c r="A8" s="652" t="s">
        <v>27</v>
      </c>
      <c r="B8" s="123"/>
      <c r="C8" s="123"/>
      <c r="E8" s="728"/>
      <c r="F8" s="728"/>
      <c r="G8" s="728"/>
    </row>
    <row r="9" spans="1:7" ht="18.75">
      <c r="A9" s="652" t="s">
        <v>28</v>
      </c>
      <c r="B9" s="123"/>
      <c r="C9" s="123"/>
      <c r="E9" s="728"/>
      <c r="F9" s="728"/>
      <c r="G9" s="728"/>
    </row>
    <row r="10" spans="1:7" ht="18.75">
      <c r="A10" s="652"/>
      <c r="B10" s="123"/>
      <c r="C10" s="123"/>
      <c r="E10" s="728"/>
      <c r="F10" s="728"/>
      <c r="G10" s="728"/>
    </row>
    <row r="11" spans="1:7" ht="12.75">
      <c r="A11" s="260"/>
      <c r="B11" s="123"/>
      <c r="C11" s="123"/>
      <c r="E11" s="728"/>
      <c r="F11" s="728"/>
      <c r="G11" s="728"/>
    </row>
    <row r="12" spans="1:9" ht="16.5" customHeight="1">
      <c r="A12" s="703" t="s">
        <v>307</v>
      </c>
      <c r="B12" s="703"/>
      <c r="C12" s="703"/>
      <c r="D12" s="729"/>
      <c r="E12" s="730"/>
      <c r="F12" s="730"/>
      <c r="G12" s="730"/>
      <c r="H12" s="661"/>
      <c r="I12" s="458" t="s">
        <v>308</v>
      </c>
    </row>
    <row r="13" spans="1:10" ht="69.75" customHeight="1">
      <c r="A13" s="731" t="s">
        <v>309</v>
      </c>
      <c r="B13" s="731" t="s">
        <v>310</v>
      </c>
      <c r="C13" s="731" t="s">
        <v>435</v>
      </c>
      <c r="D13" s="428" t="s">
        <v>245</v>
      </c>
      <c r="E13" s="429" t="s">
        <v>20</v>
      </c>
      <c r="F13" s="429" t="s">
        <v>21</v>
      </c>
      <c r="G13" s="267" t="s">
        <v>411</v>
      </c>
      <c r="H13" s="429" t="s">
        <v>22</v>
      </c>
      <c r="I13" s="429" t="s">
        <v>23</v>
      </c>
      <c r="J13" s="267" t="s">
        <v>411</v>
      </c>
    </row>
    <row r="14" spans="1:10" s="456" customFormat="1" ht="30" customHeight="1">
      <c r="A14" s="468">
        <v>750</v>
      </c>
      <c r="B14" s="732"/>
      <c r="C14" s="468"/>
      <c r="D14" s="733" t="s">
        <v>344</v>
      </c>
      <c r="E14" s="656">
        <f>SUM(E15)</f>
        <v>3000</v>
      </c>
      <c r="F14" s="656">
        <f>SUM(F15)</f>
        <v>3000</v>
      </c>
      <c r="G14" s="734">
        <f>F14*100/E14</f>
        <v>100</v>
      </c>
      <c r="H14" s="656">
        <f>SUM(H15)</f>
        <v>3000</v>
      </c>
      <c r="I14" s="656">
        <f>SUM(I15)</f>
        <v>3000</v>
      </c>
      <c r="J14" s="33">
        <f>I14*100/H14</f>
        <v>100</v>
      </c>
    </row>
    <row r="15" spans="1:10" s="456" customFormat="1" ht="19.5" customHeight="1">
      <c r="A15" s="735"/>
      <c r="B15" s="736">
        <v>75045</v>
      </c>
      <c r="C15" s="46"/>
      <c r="D15" s="737" t="s">
        <v>483</v>
      </c>
      <c r="E15" s="264">
        <f>SUM(E16)</f>
        <v>3000</v>
      </c>
      <c r="F15" s="264">
        <f>SUM(F16)</f>
        <v>3000</v>
      </c>
      <c r="G15" s="738">
        <f>F15*100/E15</f>
        <v>100</v>
      </c>
      <c r="H15" s="264">
        <f>H17</f>
        <v>3000</v>
      </c>
      <c r="I15" s="264">
        <f>I17</f>
        <v>3000</v>
      </c>
      <c r="J15" s="52">
        <f>I15*100/H15</f>
        <v>100</v>
      </c>
    </row>
    <row r="16" spans="1:10" ht="67.5" customHeight="1">
      <c r="A16" s="735"/>
      <c r="B16" s="739"/>
      <c r="C16" s="434">
        <v>2120</v>
      </c>
      <c r="D16" s="740" t="s">
        <v>548</v>
      </c>
      <c r="E16" s="741">
        <f>3000</f>
        <v>3000</v>
      </c>
      <c r="F16" s="741">
        <f>3000</f>
        <v>3000</v>
      </c>
      <c r="G16" s="741"/>
      <c r="H16" s="708"/>
      <c r="I16" s="708"/>
      <c r="J16" s="52"/>
    </row>
    <row r="17" spans="1:10" ht="24.75" customHeight="1">
      <c r="A17" s="742"/>
      <c r="B17" s="265"/>
      <c r="C17" s="75">
        <v>4300</v>
      </c>
      <c r="D17" s="743" t="s">
        <v>446</v>
      </c>
      <c r="E17" s="744"/>
      <c r="F17" s="744"/>
      <c r="G17" s="744"/>
      <c r="H17" s="744">
        <v>3000</v>
      </c>
      <c r="I17" s="744">
        <v>3000</v>
      </c>
      <c r="J17" s="52"/>
    </row>
    <row r="18" spans="1:10" ht="24.75" customHeight="1">
      <c r="A18" s="411">
        <v>801</v>
      </c>
      <c r="B18" s="307"/>
      <c r="C18" s="411"/>
      <c r="D18" s="745" t="s">
        <v>348</v>
      </c>
      <c r="E18" s="481">
        <f>E19</f>
        <v>21250</v>
      </c>
      <c r="F18" s="481">
        <f>F19</f>
        <v>0</v>
      </c>
      <c r="G18" s="481">
        <f>F18*100/E18</f>
        <v>0</v>
      </c>
      <c r="H18" s="481">
        <f>H19</f>
        <v>21250</v>
      </c>
      <c r="I18" s="481">
        <f>I19</f>
        <v>0</v>
      </c>
      <c r="J18" s="467">
        <f>I18*100/H18</f>
        <v>0</v>
      </c>
    </row>
    <row r="19" spans="1:10" ht="24.75" customHeight="1">
      <c r="A19" s="735"/>
      <c r="B19" s="736">
        <v>80195</v>
      </c>
      <c r="C19" s="46"/>
      <c r="D19" s="737" t="s">
        <v>343</v>
      </c>
      <c r="E19" s="746">
        <f>E20</f>
        <v>21250</v>
      </c>
      <c r="F19" s="746">
        <f>F20</f>
        <v>0</v>
      </c>
      <c r="G19" s="746">
        <f>F19*100/E19</f>
        <v>0</v>
      </c>
      <c r="H19" s="746">
        <f>H21</f>
        <v>21250</v>
      </c>
      <c r="I19" s="746">
        <f>I21</f>
        <v>0</v>
      </c>
      <c r="J19" s="452">
        <f>I19*100/H19</f>
        <v>0</v>
      </c>
    </row>
    <row r="20" spans="1:10" ht="69.75" customHeight="1">
      <c r="A20" s="735"/>
      <c r="B20" s="739"/>
      <c r="C20" s="434">
        <v>2120</v>
      </c>
      <c r="D20" s="740" t="s">
        <v>548</v>
      </c>
      <c r="E20" s="744">
        <v>21250</v>
      </c>
      <c r="F20" s="744">
        <v>0</v>
      </c>
      <c r="G20" s="744"/>
      <c r="H20" s="744"/>
      <c r="I20" s="744"/>
      <c r="J20" s="52"/>
    </row>
    <row r="21" spans="1:10" ht="31.5" customHeight="1">
      <c r="A21" s="742"/>
      <c r="B21" s="265"/>
      <c r="C21" s="75">
        <v>4240</v>
      </c>
      <c r="D21" s="743" t="s">
        <v>405</v>
      </c>
      <c r="E21" s="744"/>
      <c r="F21" s="744"/>
      <c r="G21" s="744"/>
      <c r="H21" s="744">
        <v>21250</v>
      </c>
      <c r="I21" s="744">
        <v>0</v>
      </c>
      <c r="J21" s="52"/>
    </row>
    <row r="22" spans="1:10" s="752" customFormat="1" ht="29.25" customHeight="1">
      <c r="A22" s="747" t="s">
        <v>29</v>
      </c>
      <c r="B22" s="748"/>
      <c r="C22" s="749"/>
      <c r="D22" s="750"/>
      <c r="E22" s="527">
        <f>SUM(E14,E18)</f>
        <v>24250</v>
      </c>
      <c r="F22" s="527">
        <f>SUM(F14,F18)</f>
        <v>3000</v>
      </c>
      <c r="G22" s="527">
        <f>F22*100/E22</f>
        <v>12.371134020618557</v>
      </c>
      <c r="H22" s="527">
        <f>SUM(H14,H18)</f>
        <v>24250</v>
      </c>
      <c r="I22" s="527">
        <f>SUM(I14,I18)</f>
        <v>3000</v>
      </c>
      <c r="J22" s="751">
        <f>I22*100/H22</f>
        <v>12.371134020618557</v>
      </c>
    </row>
    <row r="23" spans="1:10" s="455" customFormat="1" ht="27.75" customHeight="1">
      <c r="A23" s="989" t="s">
        <v>171</v>
      </c>
      <c r="B23" s="990"/>
      <c r="C23" s="990"/>
      <c r="D23" s="991"/>
      <c r="E23" s="259">
        <f>E22</f>
        <v>24250</v>
      </c>
      <c r="F23" s="259">
        <f>F22</f>
        <v>3000</v>
      </c>
      <c r="G23" s="259">
        <f>F23*100/E23</f>
        <v>12.371134020618557</v>
      </c>
      <c r="H23" s="259">
        <f>H22</f>
        <v>24250</v>
      </c>
      <c r="I23" s="259">
        <f>I22</f>
        <v>3000</v>
      </c>
      <c r="J23" s="727">
        <f>I23*100/H23</f>
        <v>12.371134020618557</v>
      </c>
    </row>
    <row r="24" spans="1:7" ht="12.75">
      <c r="A24" s="263"/>
      <c r="B24" s="263"/>
      <c r="C24" s="373"/>
      <c r="D24" s="374"/>
      <c r="E24" s="263"/>
      <c r="F24" s="263"/>
      <c r="G24" s="263"/>
    </row>
    <row r="25" spans="1:7" ht="12.75">
      <c r="A25" s="263"/>
      <c r="B25" s="263"/>
      <c r="C25" s="373"/>
      <c r="D25" s="374"/>
      <c r="E25" s="263"/>
      <c r="F25" s="263"/>
      <c r="G25" s="263"/>
    </row>
    <row r="26" spans="3:4" ht="12.75">
      <c r="C26" s="375"/>
      <c r="D26" s="376"/>
    </row>
    <row r="27" spans="3:4" ht="12.75">
      <c r="C27" s="375"/>
      <c r="D27" s="376"/>
    </row>
    <row r="28" spans="3:4" ht="12.75">
      <c r="C28" s="375"/>
      <c r="D28" s="376"/>
    </row>
    <row r="29" spans="3:4" ht="12.75">
      <c r="C29" s="375"/>
      <c r="D29" s="376"/>
    </row>
    <row r="30" spans="3:4" ht="12.75">
      <c r="C30" s="375"/>
      <c r="D30" s="376"/>
    </row>
    <row r="31" spans="3:4" ht="12.75">
      <c r="C31" s="375"/>
      <c r="D31" s="376"/>
    </row>
    <row r="32" spans="3:4" ht="12.75">
      <c r="C32" s="375"/>
      <c r="D32" s="376"/>
    </row>
    <row r="33" spans="3:4" ht="12.75">
      <c r="C33" s="375"/>
      <c r="D33" s="376"/>
    </row>
    <row r="34" ht="12.75">
      <c r="C34" s="375"/>
    </row>
    <row r="35" ht="12.75">
      <c r="C35" s="375"/>
    </row>
    <row r="36" ht="12.75">
      <c r="C36" s="375"/>
    </row>
    <row r="37" ht="12.75">
      <c r="C37" s="375"/>
    </row>
    <row r="38" ht="12.75">
      <c r="C38" s="375"/>
    </row>
    <row r="39" ht="12.75">
      <c r="C39" s="375"/>
    </row>
    <row r="40" ht="12.75">
      <c r="C40" s="375"/>
    </row>
    <row r="41" ht="12.75">
      <c r="C41" s="375"/>
    </row>
    <row r="42" ht="12.75">
      <c r="C42" s="375"/>
    </row>
    <row r="43" ht="12.75">
      <c r="C43" s="375"/>
    </row>
    <row r="44" ht="12.75">
      <c r="C44" s="375"/>
    </row>
    <row r="45" ht="12.75">
      <c r="C45" s="375"/>
    </row>
    <row r="46" ht="12.75">
      <c r="C46" s="375"/>
    </row>
    <row r="47" ht="12.75">
      <c r="C47" s="375"/>
    </row>
    <row r="48" ht="12.75">
      <c r="C48" s="375"/>
    </row>
    <row r="49" ht="12.75">
      <c r="C49" s="375"/>
    </row>
    <row r="50" ht="12.75">
      <c r="C50" s="375"/>
    </row>
    <row r="51" ht="12.75">
      <c r="C51" s="375"/>
    </row>
    <row r="52" ht="12.75">
      <c r="C52" s="375"/>
    </row>
    <row r="53" ht="12.75">
      <c r="C53" s="375"/>
    </row>
    <row r="54" ht="12.75">
      <c r="C54" s="375"/>
    </row>
    <row r="55" ht="12.75">
      <c r="C55" s="375"/>
    </row>
    <row r="56" ht="12.75">
      <c r="C56" s="375"/>
    </row>
    <row r="57" ht="12.75">
      <c r="C57" s="375"/>
    </row>
    <row r="58" ht="12.75">
      <c r="C58" s="375"/>
    </row>
    <row r="59" ht="12.75">
      <c r="C59" s="375"/>
    </row>
    <row r="60" ht="12.75">
      <c r="C60" s="375"/>
    </row>
    <row r="61" ht="12.75">
      <c r="C61" s="375"/>
    </row>
    <row r="62" ht="12.75">
      <c r="C62" s="375"/>
    </row>
    <row r="63" ht="12.75">
      <c r="C63" s="375"/>
    </row>
    <row r="64" ht="12.75">
      <c r="C64" s="375"/>
    </row>
    <row r="65" ht="12.75">
      <c r="C65" s="375"/>
    </row>
    <row r="66" ht="12.75">
      <c r="C66" s="375"/>
    </row>
    <row r="67" ht="12.75">
      <c r="C67" s="375"/>
    </row>
    <row r="68" ht="12.75">
      <c r="C68" s="375"/>
    </row>
    <row r="69" ht="12.75">
      <c r="C69" s="375"/>
    </row>
    <row r="70" ht="12.75">
      <c r="C70" s="375"/>
    </row>
  </sheetData>
  <mergeCells count="1">
    <mergeCell ref="A23:D2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L7" sqref="L7"/>
    </sheetView>
  </sheetViews>
  <sheetFormatPr defaultColWidth="9.140625" defaultRowHeight="12.75"/>
  <cols>
    <col min="1" max="1" width="5.140625" style="40" customWidth="1"/>
    <col min="2" max="2" width="6.7109375" style="40" customWidth="1"/>
    <col min="3" max="3" width="5.421875" style="40" customWidth="1"/>
    <col min="4" max="4" width="22.8515625" style="40" customWidth="1"/>
    <col min="5" max="5" width="11.57421875" style="40" customWidth="1"/>
    <col min="6" max="6" width="11.8515625" style="40" customWidth="1"/>
    <col min="7" max="7" width="7.57421875" style="40" customWidth="1"/>
    <col min="8" max="8" width="12.57421875" style="40" customWidth="1"/>
    <col min="9" max="9" width="11.8515625" style="40" customWidth="1"/>
    <col min="10" max="10" width="7.140625" style="40" customWidth="1"/>
    <col min="11" max="16384" width="9.140625" style="40" customWidth="1"/>
  </cols>
  <sheetData>
    <row r="1" spans="1:7" ht="19.5" customHeight="1">
      <c r="A1" s="123"/>
      <c r="B1" s="123"/>
      <c r="C1" s="123"/>
      <c r="D1" s="123"/>
      <c r="E1" s="603"/>
      <c r="F1" s="603"/>
      <c r="G1" s="603"/>
    </row>
    <row r="2" spans="1:8" ht="19.5" customHeight="1">
      <c r="A2" s="123"/>
      <c r="B2" s="123"/>
      <c r="C2" s="123"/>
      <c r="D2" s="123"/>
      <c r="E2" s="245"/>
      <c r="F2" s="245"/>
      <c r="G2" s="245"/>
      <c r="H2" s="603" t="s">
        <v>16</v>
      </c>
    </row>
    <row r="3" spans="1:8" ht="19.5" customHeight="1">
      <c r="A3" s="123"/>
      <c r="B3" s="123"/>
      <c r="C3" s="123"/>
      <c r="D3" s="123"/>
      <c r="E3" s="123"/>
      <c r="F3" s="123"/>
      <c r="G3" s="123"/>
      <c r="H3" s="245" t="s">
        <v>620</v>
      </c>
    </row>
    <row r="4" spans="1:8" ht="19.5" customHeight="1">
      <c r="A4" s="123"/>
      <c r="B4" s="123"/>
      <c r="C4" s="123"/>
      <c r="D4" s="123"/>
      <c r="E4" s="123"/>
      <c r="F4" s="123"/>
      <c r="G4" s="123"/>
      <c r="H4" s="245" t="s">
        <v>202</v>
      </c>
    </row>
    <row r="5" spans="1:8" ht="19.5" customHeight="1">
      <c r="A5" s="123"/>
      <c r="B5" s="123"/>
      <c r="C5" s="123"/>
      <c r="D5" s="123"/>
      <c r="E5" s="123"/>
      <c r="F5" s="123"/>
      <c r="G5" s="123"/>
      <c r="H5" s="245" t="s">
        <v>621</v>
      </c>
    </row>
    <row r="6" spans="1:7" ht="12.75">
      <c r="A6" s="123"/>
      <c r="B6" s="123"/>
      <c r="C6" s="123"/>
      <c r="D6" s="123"/>
      <c r="E6" s="123"/>
      <c r="F6" s="123"/>
      <c r="G6" s="123"/>
    </row>
    <row r="7" spans="1:7" ht="18.75">
      <c r="A7" s="652" t="s">
        <v>17</v>
      </c>
      <c r="B7" s="123"/>
      <c r="C7" s="123"/>
      <c r="D7" s="123"/>
      <c r="E7" s="123"/>
      <c r="F7" s="123"/>
      <c r="G7" s="123"/>
    </row>
    <row r="8" spans="1:7" ht="18.75">
      <c r="A8" s="652" t="s">
        <v>18</v>
      </c>
      <c r="B8" s="123"/>
      <c r="C8" s="123"/>
      <c r="D8" s="123"/>
      <c r="E8" s="123"/>
      <c r="F8" s="123"/>
      <c r="G8" s="123"/>
    </row>
    <row r="9" spans="1:7" ht="18.75">
      <c r="A9" s="701" t="s">
        <v>19</v>
      </c>
      <c r="B9" s="702"/>
      <c r="C9" s="703"/>
      <c r="D9" s="704"/>
      <c r="E9" s="704"/>
      <c r="F9" s="704"/>
      <c r="G9" s="704"/>
    </row>
    <row r="10" spans="1:7" ht="18.75">
      <c r="A10" s="652"/>
      <c r="B10" s="702"/>
      <c r="C10" s="703"/>
      <c r="D10" s="704"/>
      <c r="E10" s="704"/>
      <c r="F10" s="704"/>
      <c r="G10" s="704"/>
    </row>
    <row r="11" spans="1:9" ht="12.75">
      <c r="A11" s="703" t="s">
        <v>307</v>
      </c>
      <c r="B11" s="703"/>
      <c r="C11" s="703"/>
      <c r="D11" s="704"/>
      <c r="E11" s="704"/>
      <c r="F11" s="704"/>
      <c r="G11" s="704"/>
      <c r="I11" s="458" t="s">
        <v>308</v>
      </c>
    </row>
    <row r="12" spans="1:10" s="123" customFormat="1" ht="65.25" customHeight="1">
      <c r="A12" s="62" t="s">
        <v>309</v>
      </c>
      <c r="B12" s="62" t="s">
        <v>310</v>
      </c>
      <c r="C12" s="62" t="s">
        <v>435</v>
      </c>
      <c r="D12" s="705" t="s">
        <v>245</v>
      </c>
      <c r="E12" s="429" t="s">
        <v>20</v>
      </c>
      <c r="F12" s="429" t="s">
        <v>21</v>
      </c>
      <c r="G12" s="267" t="s">
        <v>411</v>
      </c>
      <c r="H12" s="429" t="s">
        <v>22</v>
      </c>
      <c r="I12" s="429" t="s">
        <v>23</v>
      </c>
      <c r="J12" s="267" t="s">
        <v>411</v>
      </c>
    </row>
    <row r="13" spans="1:10" ht="24.75" customHeight="1">
      <c r="A13" s="49" t="s">
        <v>255</v>
      </c>
      <c r="B13" s="610"/>
      <c r="C13" s="610"/>
      <c r="D13" s="706"/>
      <c r="E13" s="707"/>
      <c r="F13" s="707"/>
      <c r="G13" s="707"/>
      <c r="H13" s="708"/>
      <c r="I13" s="708"/>
      <c r="J13" s="708"/>
    </row>
    <row r="14" spans="1:10" ht="45" customHeight="1">
      <c r="A14" s="709">
        <v>853</v>
      </c>
      <c r="B14" s="709"/>
      <c r="C14" s="709"/>
      <c r="D14" s="710" t="s">
        <v>24</v>
      </c>
      <c r="E14" s="711">
        <f>SUM(E15)</f>
        <v>297490</v>
      </c>
      <c r="F14" s="711">
        <f>SUM(F15)</f>
        <v>302407</v>
      </c>
      <c r="G14" s="712">
        <f>F14*100/E14</f>
        <v>101.6528286665098</v>
      </c>
      <c r="H14" s="711">
        <f>H15</f>
        <v>297490</v>
      </c>
      <c r="I14" s="711">
        <f>I15</f>
        <v>302407</v>
      </c>
      <c r="J14" s="33">
        <f>I14*100/H14</f>
        <v>101.6528286665098</v>
      </c>
    </row>
    <row r="15" spans="1:10" s="661" customFormat="1" ht="40.5" customHeight="1">
      <c r="A15" s="713"/>
      <c r="B15" s="93">
        <v>85321</v>
      </c>
      <c r="C15" s="93"/>
      <c r="D15" s="714" t="s">
        <v>130</v>
      </c>
      <c r="E15" s="715">
        <f>SUM(E16)</f>
        <v>297490</v>
      </c>
      <c r="F15" s="715">
        <f>SUM(F16)</f>
        <v>302407</v>
      </c>
      <c r="G15" s="716">
        <f>F15*100/E15</f>
        <v>101.6528286665098</v>
      </c>
      <c r="H15" s="715">
        <f>SUM(H17:H23)</f>
        <v>297490</v>
      </c>
      <c r="I15" s="715">
        <f>SUM(I17:I23)</f>
        <v>302407</v>
      </c>
      <c r="J15" s="52">
        <f>I15*100/H15</f>
        <v>101.6528286665098</v>
      </c>
    </row>
    <row r="16" spans="1:10" ht="78.75" customHeight="1">
      <c r="A16" s="717"/>
      <c r="B16" s="713"/>
      <c r="C16" s="2">
        <v>2320</v>
      </c>
      <c r="D16" s="451" t="s">
        <v>555</v>
      </c>
      <c r="E16" s="718">
        <v>297490</v>
      </c>
      <c r="F16" s="718">
        <v>302407</v>
      </c>
      <c r="G16" s="718"/>
      <c r="H16" s="708"/>
      <c r="I16" s="708"/>
      <c r="J16" s="719"/>
    </row>
    <row r="17" spans="1:10" ht="27.75" customHeight="1">
      <c r="A17" s="720"/>
      <c r="B17" s="721"/>
      <c r="C17" s="8">
        <v>4010</v>
      </c>
      <c r="D17" s="722" t="s">
        <v>492</v>
      </c>
      <c r="E17" s="718"/>
      <c r="F17" s="718"/>
      <c r="G17" s="718"/>
      <c r="H17" s="719">
        <v>160760.62</v>
      </c>
      <c r="I17" s="719">
        <v>159001</v>
      </c>
      <c r="J17" s="719">
        <f aca="true" t="shared" si="0" ref="J17:J24">I17*100/H17</f>
        <v>98.90544089715505</v>
      </c>
    </row>
    <row r="18" spans="1:10" ht="33.75" customHeight="1">
      <c r="A18" s="720"/>
      <c r="B18" s="721"/>
      <c r="C18" s="8">
        <v>4040</v>
      </c>
      <c r="D18" s="722" t="s">
        <v>493</v>
      </c>
      <c r="E18" s="723"/>
      <c r="F18" s="723"/>
      <c r="G18" s="723"/>
      <c r="H18" s="719">
        <v>18142.55</v>
      </c>
      <c r="I18" s="719">
        <v>22581</v>
      </c>
      <c r="J18" s="719">
        <f t="shared" si="0"/>
        <v>124.46431179740445</v>
      </c>
    </row>
    <row r="19" spans="1:10" ht="30" customHeight="1">
      <c r="A19" s="720"/>
      <c r="B19" s="721"/>
      <c r="C19" s="8">
        <v>4110</v>
      </c>
      <c r="D19" s="722" t="s">
        <v>519</v>
      </c>
      <c r="E19" s="723"/>
      <c r="F19" s="723"/>
      <c r="G19" s="723"/>
      <c r="H19" s="719">
        <f>17344+13907</f>
        <v>31251</v>
      </c>
      <c r="I19" s="719">
        <v>31198</v>
      </c>
      <c r="J19" s="719">
        <f t="shared" si="0"/>
        <v>99.83040542702634</v>
      </c>
    </row>
    <row r="20" spans="1:10" ht="20.25" customHeight="1">
      <c r="A20" s="720"/>
      <c r="B20" s="721"/>
      <c r="C20" s="15">
        <v>4120</v>
      </c>
      <c r="D20" s="697" t="s">
        <v>520</v>
      </c>
      <c r="E20" s="723"/>
      <c r="F20" s="723"/>
      <c r="G20" s="723"/>
      <c r="H20" s="719">
        <f>2473+1983</f>
        <v>4456</v>
      </c>
      <c r="I20" s="719">
        <v>3837</v>
      </c>
      <c r="J20" s="719">
        <f t="shared" si="0"/>
        <v>86.10861759425494</v>
      </c>
    </row>
    <row r="21" spans="1:10" ht="20.25" customHeight="1">
      <c r="A21" s="720"/>
      <c r="B21" s="721"/>
      <c r="C21" s="15">
        <v>4170</v>
      </c>
      <c r="D21" s="697" t="s">
        <v>526</v>
      </c>
      <c r="E21" s="723"/>
      <c r="F21" s="723"/>
      <c r="G21" s="723"/>
      <c r="H21" s="719">
        <f>13209+10591</f>
        <v>23800</v>
      </c>
      <c r="I21" s="719">
        <v>23800</v>
      </c>
      <c r="J21" s="719">
        <f t="shared" si="0"/>
        <v>100</v>
      </c>
    </row>
    <row r="22" spans="1:10" ht="20.25" customHeight="1">
      <c r="A22" s="720"/>
      <c r="B22" s="721"/>
      <c r="C22" s="8">
        <v>4300</v>
      </c>
      <c r="D22" s="722" t="s">
        <v>446</v>
      </c>
      <c r="E22" s="723"/>
      <c r="F22" s="723"/>
      <c r="G22" s="723"/>
      <c r="H22" s="719">
        <f>22802+28438</f>
        <v>51240</v>
      </c>
      <c r="I22" s="719">
        <v>51240</v>
      </c>
      <c r="J22" s="719">
        <f t="shared" si="0"/>
        <v>100</v>
      </c>
    </row>
    <row r="23" spans="1:10" ht="30" customHeight="1">
      <c r="A23" s="720"/>
      <c r="B23" s="721"/>
      <c r="C23" s="15">
        <v>4440</v>
      </c>
      <c r="D23" s="697" t="s">
        <v>521</v>
      </c>
      <c r="E23" s="724"/>
      <c r="F23" s="724"/>
      <c r="G23" s="724"/>
      <c r="H23" s="719">
        <v>7839.83</v>
      </c>
      <c r="I23" s="719">
        <v>10750</v>
      </c>
      <c r="J23" s="719">
        <f t="shared" si="0"/>
        <v>137.120320211025</v>
      </c>
    </row>
    <row r="24" spans="1:10" ht="28.5" customHeight="1">
      <c r="A24" s="679" t="s">
        <v>25</v>
      </c>
      <c r="B24" s="610"/>
      <c r="C24" s="610"/>
      <c r="D24" s="725"/>
      <c r="E24" s="711">
        <f>SUM(E14)</f>
        <v>297490</v>
      </c>
      <c r="F24" s="711">
        <f>SUM(F14)</f>
        <v>302407</v>
      </c>
      <c r="G24" s="711">
        <f>F24*100/E24</f>
        <v>101.6528286665098</v>
      </c>
      <c r="H24" s="726">
        <f>SUM(H17:H23)</f>
        <v>297490</v>
      </c>
      <c r="I24" s="726">
        <f>SUM(I17:I23)</f>
        <v>302407</v>
      </c>
      <c r="J24" s="727">
        <f t="shared" si="0"/>
        <v>101.6528286665098</v>
      </c>
    </row>
    <row r="25" spans="1:7" ht="12.75">
      <c r="A25" s="263"/>
      <c r="B25" s="263"/>
      <c r="C25" s="263"/>
      <c r="D25" s="263"/>
      <c r="E25" s="397"/>
      <c r="F25" s="397"/>
      <c r="G25" s="397"/>
    </row>
    <row r="26" spans="1:7" ht="12.75">
      <c r="A26" s="263"/>
      <c r="B26" s="263"/>
      <c r="C26" s="263"/>
      <c r="D26" s="263"/>
      <c r="E26" s="263"/>
      <c r="F26" s="263"/>
      <c r="G26" s="263"/>
    </row>
    <row r="27" spans="1:7" ht="12.75">
      <c r="A27" s="263"/>
      <c r="B27" s="263"/>
      <c r="C27" s="263"/>
      <c r="D27" s="263"/>
      <c r="E27" s="263"/>
      <c r="F27" s="263"/>
      <c r="G27" s="263"/>
    </row>
  </sheetData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A1">
      <selection activeCell="G9" sqref="G9"/>
    </sheetView>
  </sheetViews>
  <sheetFormatPr defaultColWidth="9.140625" defaultRowHeight="12.75"/>
  <cols>
    <col min="1" max="1" width="3.57421875" style="71" customWidth="1"/>
    <col min="2" max="2" width="48.140625" style="71" customWidth="1"/>
    <col min="3" max="3" width="20.00390625" style="71" customWidth="1"/>
    <col min="4" max="4" width="20.57421875" style="71" customWidth="1"/>
    <col min="5" max="6" width="9.140625" style="71" customWidth="1"/>
    <col min="7" max="7" width="18.421875" style="71" customWidth="1"/>
    <col min="8" max="8" width="22.140625" style="71" customWidth="1"/>
    <col min="9" max="16384" width="9.140625" style="71" customWidth="1"/>
  </cols>
  <sheetData>
    <row r="1" ht="18.75">
      <c r="C1" s="245"/>
    </row>
    <row r="2" spans="3:4" ht="20.25">
      <c r="C2" s="211" t="s">
        <v>617</v>
      </c>
      <c r="D2" s="164"/>
    </row>
    <row r="3" spans="3:4" ht="18.75">
      <c r="C3" s="256" t="s">
        <v>201</v>
      </c>
      <c r="D3" s="164"/>
    </row>
    <row r="4" spans="3:4" ht="18.75">
      <c r="C4" s="256" t="s">
        <v>202</v>
      </c>
      <c r="D4" s="164"/>
    </row>
    <row r="5" spans="3:4" ht="18.75">
      <c r="C5" s="256" t="s">
        <v>203</v>
      </c>
      <c r="D5" s="164"/>
    </row>
    <row r="6" spans="3:4" ht="18.75">
      <c r="C6" s="245"/>
      <c r="D6" s="162"/>
    </row>
    <row r="7" spans="2:4" ht="12.75">
      <c r="B7" s="246"/>
      <c r="C7" s="246"/>
      <c r="D7" s="246"/>
    </row>
    <row r="8" spans="2:4" ht="18.75">
      <c r="B8" s="378" t="s">
        <v>207</v>
      </c>
      <c r="C8" s="246"/>
      <c r="D8" s="246"/>
    </row>
    <row r="9" spans="2:4" ht="18.75">
      <c r="B9" s="378" t="s">
        <v>212</v>
      </c>
      <c r="C9" s="246"/>
      <c r="D9" s="246"/>
    </row>
    <row r="10" spans="2:4" ht="18.75">
      <c r="B10" s="378"/>
      <c r="C10" s="246"/>
      <c r="D10" s="246"/>
    </row>
    <row r="11" spans="2:4" s="247" customFormat="1" ht="24" customHeight="1">
      <c r="B11" s="379"/>
      <c r="C11" s="380" t="s">
        <v>213</v>
      </c>
      <c r="D11" s="381"/>
    </row>
    <row r="12" spans="2:4" s="247" customFormat="1" ht="28.5" customHeight="1">
      <c r="B12" s="382"/>
      <c r="C12" s="248" t="s">
        <v>208</v>
      </c>
      <c r="D12" s="383" t="s">
        <v>209</v>
      </c>
    </row>
    <row r="13" spans="2:4" ht="72.75" customHeight="1">
      <c r="B13" s="384" t="s">
        <v>245</v>
      </c>
      <c r="C13" s="385" t="s">
        <v>210</v>
      </c>
      <c r="D13" s="249" t="s">
        <v>211</v>
      </c>
    </row>
    <row r="14" spans="2:4" s="386" customFormat="1" ht="36.75" customHeight="1">
      <c r="B14" s="250" t="s">
        <v>561</v>
      </c>
      <c r="C14" s="253">
        <f>C15</f>
        <v>15000000</v>
      </c>
      <c r="D14" s="253">
        <f>D15</f>
        <v>17857676</v>
      </c>
    </row>
    <row r="15" spans="2:8" s="386" customFormat="1" ht="45.75" customHeight="1">
      <c r="B15" s="387" t="s">
        <v>562</v>
      </c>
      <c r="C15" s="388">
        <f>SUM(C16:C20)</f>
        <v>15000000</v>
      </c>
      <c r="D15" s="388">
        <f>SUM(D16:D20)</f>
        <v>17857676</v>
      </c>
      <c r="G15" s="602"/>
      <c r="H15" s="432"/>
    </row>
    <row r="16" spans="2:8" ht="39" customHeight="1">
      <c r="B16" s="237" t="s">
        <v>149</v>
      </c>
      <c r="C16" s="254">
        <v>15000000</v>
      </c>
      <c r="D16" s="390"/>
      <c r="H16" s="358"/>
    </row>
    <row r="17" spans="2:4" ht="39" customHeight="1">
      <c r="B17" s="252" t="s">
        <v>485</v>
      </c>
      <c r="C17" s="254"/>
      <c r="D17" s="390">
        <v>243316</v>
      </c>
    </row>
    <row r="18" spans="2:4" ht="39" customHeight="1">
      <c r="B18" s="252" t="s">
        <v>150</v>
      </c>
      <c r="C18" s="254"/>
      <c r="D18" s="390">
        <v>180000</v>
      </c>
    </row>
    <row r="19" spans="2:8" ht="39.75" customHeight="1">
      <c r="B19" s="389" t="s">
        <v>486</v>
      </c>
      <c r="C19" s="254"/>
      <c r="D19" s="390">
        <v>221200</v>
      </c>
      <c r="H19" s="395"/>
    </row>
    <row r="20" spans="2:8" ht="31.5" customHeight="1">
      <c r="B20" s="251" t="s">
        <v>487</v>
      </c>
      <c r="C20" s="254"/>
      <c r="D20" s="254">
        <v>17213160</v>
      </c>
      <c r="H20" s="395"/>
    </row>
    <row r="21" spans="2:8" ht="26.25" customHeight="1">
      <c r="B21" s="391"/>
      <c r="C21" s="392"/>
      <c r="D21" s="393"/>
      <c r="H21" s="395"/>
    </row>
    <row r="22" ht="12.75">
      <c r="D22" s="394"/>
    </row>
    <row r="24" ht="18.75">
      <c r="D24" s="405"/>
    </row>
    <row r="25" ht="18.75">
      <c r="D25" s="405"/>
    </row>
    <row r="26" spans="3:4" ht="18.75">
      <c r="C26" s="395"/>
      <c r="D26" s="433"/>
    </row>
    <row r="27" spans="3:4" ht="15.75">
      <c r="C27" s="395"/>
      <c r="D27" s="395"/>
    </row>
    <row r="28" spans="3:4" ht="15.75">
      <c r="C28" s="395"/>
      <c r="D28" s="395"/>
    </row>
    <row r="29" spans="3:4" ht="15.75">
      <c r="C29" s="395"/>
      <c r="D29" s="395"/>
    </row>
    <row r="30" spans="3:4" ht="15.75">
      <c r="C30" s="395"/>
      <c r="D30" s="395"/>
    </row>
    <row r="31" spans="3:4" ht="15.75">
      <c r="C31" s="395"/>
      <c r="D31" s="395"/>
    </row>
    <row r="32" spans="3:4" ht="15.75">
      <c r="C32" s="151"/>
      <c r="D32" s="395"/>
    </row>
    <row r="33" spans="3:4" ht="15.75">
      <c r="C33" s="395"/>
      <c r="D33" s="395"/>
    </row>
    <row r="34" spans="3:4" ht="15.75">
      <c r="C34" s="395"/>
      <c r="D34" s="395"/>
    </row>
    <row r="35" spans="3:4" ht="15.75">
      <c r="C35" s="395"/>
      <c r="D35" s="395"/>
    </row>
    <row r="36" spans="3:4" ht="15.75">
      <c r="C36" s="395"/>
      <c r="D36" s="395"/>
    </row>
    <row r="37" spans="3:4" ht="15.75">
      <c r="C37" s="151"/>
      <c r="D37" s="395"/>
    </row>
    <row r="38" spans="3:4" ht="15.75">
      <c r="C38" s="395"/>
      <c r="D38" s="395"/>
    </row>
    <row r="39" spans="3:4" ht="15.75">
      <c r="C39" s="395"/>
      <c r="D39" s="395"/>
    </row>
    <row r="40" spans="3:4" ht="15.75">
      <c r="C40" s="395"/>
      <c r="D40" s="395"/>
    </row>
    <row r="41" spans="3:4" ht="15.75">
      <c r="C41" s="395"/>
      <c r="D41" s="395"/>
    </row>
    <row r="42" spans="3:4" ht="15.75">
      <c r="C42" s="395"/>
      <c r="D42" s="395"/>
    </row>
    <row r="43" spans="3:4" ht="15.75">
      <c r="C43" s="151"/>
      <c r="D43" s="395"/>
    </row>
    <row r="44" spans="3:4" ht="15.75">
      <c r="C44" s="395"/>
      <c r="D44" s="395"/>
    </row>
    <row r="45" spans="3:4" ht="15.75">
      <c r="C45" s="395"/>
      <c r="D45" s="395"/>
    </row>
    <row r="46" spans="3:4" ht="15.75">
      <c r="C46" s="395"/>
      <c r="D46" s="395"/>
    </row>
    <row r="47" spans="3:4" ht="15.75">
      <c r="C47" s="395"/>
      <c r="D47" s="395"/>
    </row>
  </sheetData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2015-11-14T09:27:21Z</cp:lastPrinted>
  <dcterms:created xsi:type="dcterms:W3CDTF">2007-04-04T08:35:31Z</dcterms:created>
  <dcterms:modified xsi:type="dcterms:W3CDTF">2015-11-16T06:47:54Z</dcterms:modified>
  <cp:category/>
  <cp:version/>
  <cp:contentType/>
  <cp:contentStatus/>
</cp:coreProperties>
</file>