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ZPMK NR 140 z 30.10.2019" sheetId="1" r:id="rId1"/>
  </sheets>
  <definedNames/>
  <calcPr fullCalcOnLoad="1"/>
</workbook>
</file>

<file path=xl/sharedStrings.xml><?xml version="1.0" encoding="utf-8"?>
<sst xmlns="http://schemas.openxmlformats.org/spreadsheetml/2006/main" count="290" uniqueCount="165">
  <si>
    <t xml:space="preserve">                    Zmniejsza się</t>
  </si>
  <si>
    <t xml:space="preserve">                       Zwiększa się</t>
  </si>
  <si>
    <t xml:space="preserve">                                     PREZYDENTA  MIASTA  KONINA</t>
  </si>
  <si>
    <t xml:space="preserve">           Na podstawie art. 222 ust.4  i art. 257 ustawy  z dnia  27 sierpnia 2009 r.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</si>
  <si>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</si>
  <si>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</si>
  <si>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</si>
  <si>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</si>
  <si>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</si>
  <si>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</si>
  <si>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</si>
  <si>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Rozdz.</t>
  </si>
  <si>
    <t>W części dotyczącej wydatków  gminy</t>
  </si>
  <si>
    <t xml:space="preserve">RAZEM </t>
  </si>
  <si>
    <t>RAZEM</t>
  </si>
  <si>
    <t>801</t>
  </si>
  <si>
    <t>W części dotyczącej wydatków powiatu</t>
  </si>
  <si>
    <t xml:space="preserve">                                                                     § 2</t>
  </si>
  <si>
    <t>Zarządzenie wchodzi w życie z dniem podjęcia.</t>
  </si>
  <si>
    <r>
      <t xml:space="preserve">w sprawie </t>
    </r>
    <r>
      <rPr>
        <b/>
        <i/>
        <sz val="14"/>
        <rFont val="Times New Roman"/>
        <family val="1"/>
      </rPr>
      <t>zmian w budżecie miasta Konina na 2019 rok</t>
    </r>
  </si>
  <si>
    <t xml:space="preserve">         W uchwale Nr 27 Rady Miasta Konina z dnia  19 grudnia 2018 r. w sprawie uchwały budżetowej</t>
  </si>
  <si>
    <t xml:space="preserve"> Konina z dnia 19 grudnia 2018 r. w sprawie uchwały budżetowej miasta Konina na 2019 rok</t>
  </si>
  <si>
    <t>1. W § 1 ust. 1</t>
  </si>
  <si>
    <t xml:space="preserve">         Kwotę dochodów ogółem      </t>
  </si>
  <si>
    <t xml:space="preserve">         zastępuje się kwotą</t>
  </si>
  <si>
    <t>z tego:</t>
  </si>
  <si>
    <t>2. W Załączniku Nr 1 do uchwały budżetowej dokonuje się następujących zmian:</t>
  </si>
  <si>
    <t xml:space="preserve">             Zmniejsza się</t>
  </si>
  <si>
    <t xml:space="preserve">          Zwiększa się</t>
  </si>
  <si>
    <t>Kwotę wydatków ogółem</t>
  </si>
  <si>
    <t>zastępuje się kwotą</t>
  </si>
  <si>
    <t xml:space="preserve">          a) kwotę wydatków bieżących ogółem                      </t>
  </si>
  <si>
    <t>na 2019 rok: Nr 6/2019 Prezydenta Miasta Konina z dnia 14 stycznia 2019 r.; Nr 32 Rady Miasta Konina z dnia</t>
  </si>
  <si>
    <t xml:space="preserve">miasta Konina na 2019 rok zmienionej zarządzeniami i uchwałą w sprawie zmian w budżecie  miasta Konina </t>
  </si>
  <si>
    <t xml:space="preserve">                Prezydent Miasta Konina</t>
  </si>
  <si>
    <t xml:space="preserve">                     Piotr Korytkowski</t>
  </si>
  <si>
    <t>Konina z dnia 12 lutego 2019 r.; Nr 65 Rady Miasta Konina z dnia 27 lutego 2019 r.; Nr 29/2019 Prezydenta Miasta</t>
  </si>
  <si>
    <t>Konina z dnia 28 lutego 2019 r.;  Nr 38/2019 Prezydenta Miasta Konina z dnia 14 marca 2019 r.;  Nr 87 Rady Miasta</t>
  </si>
  <si>
    <t xml:space="preserve">Prezydenta Miasta Konina z dnia 23 maja 2019 r.; Nr 130 Rady Miasta Konina z dnia 29 maja 2019 r.; Nr 82/2019 </t>
  </si>
  <si>
    <t>852</t>
  </si>
  <si>
    <t>Prezydenta Miasta Konina z dnia 29 maja 2019 r.; Nr 92/2019 Prezydenta Miasta Konina z dnia 17 czerwca 2019 r.;</t>
  </si>
  <si>
    <t xml:space="preserve"> - kwotę dotacji celowych na zadania z zakresu administracji</t>
  </si>
  <si>
    <t xml:space="preserve">  </t>
  </si>
  <si>
    <t xml:space="preserve">   zastępuje się kwotą </t>
  </si>
  <si>
    <t xml:space="preserve"> -kwotę wydatków na realizację zadań z zakresu administracji </t>
  </si>
  <si>
    <t xml:space="preserve">  zastępuje się kwotą</t>
  </si>
  <si>
    <t xml:space="preserve"> -  wprowadza się następujące zmiany:</t>
  </si>
  <si>
    <t>Nr 155 Rady Miasta Konina z dnia 26 czerwca 2019 r.;  Nr 96/2019 Prezydenta Miasta Konina z dnia 10 lipca 2019 r.;</t>
  </si>
  <si>
    <t xml:space="preserve">Nr 175  Rady Miasta Konina z dnia 26 lipca 2019 r.; Nr 102/2019 Prezydenta Miasta Konina z dnia 26 lipca 2019 r.; </t>
  </si>
  <si>
    <t>750</t>
  </si>
  <si>
    <t>30 stycznia 2019 r.; Nr 8/2019 Prezydenta Miasta Konina z dnia 30 stycznia 2019 r.; Nr 19/2019 Prezydenta Miasta</t>
  </si>
  <si>
    <t>Konina z dnia 27 marca 2019 r.; Nr 47/2019 Prezydenta Miasta Konina z dnia 28 marca 2019 r.; Nr 53/2019 Prezydenta</t>
  </si>
  <si>
    <t>Miasta Konina z dnia 5 kwietnia 2019 r.; Nr 110 Rady Miasta Konina z dnia 24 kwietnia 2019 r.; Nr 62/2019 Prezydenta</t>
  </si>
  <si>
    <t xml:space="preserve">Miasta Konina z dnia 25 kwietnia 2019 r.; Nr 69/2019 Prezydenta Miasta Konina z dnia 13 maja 2019 r.; Nr 80/2019 </t>
  </si>
  <si>
    <t xml:space="preserve"> zarządza się, co  następuje:</t>
  </si>
  <si>
    <t>80101</t>
  </si>
  <si>
    <t>Nr 104/2019 Prezydenta Miasta Konina z dnia 12 sierpnia 2019 r.; Nr 113/2019 Prezydenta Miasta Konina z dnia</t>
  </si>
  <si>
    <t>854</t>
  </si>
  <si>
    <t>80146</t>
  </si>
  <si>
    <t>W części dotyczącej dochodów  powiatu</t>
  </si>
  <si>
    <t xml:space="preserve">           2) kwotę  wydatków  powiatu  ogółem                      </t>
  </si>
  <si>
    <t xml:space="preserve">o finansach publicznych (Dz.U. z 2019 r. poz. 869 ze zmianami)  oraz  § 5 ust. 1 uchwały Nr 27 Rady Miasta </t>
  </si>
  <si>
    <t>80149</t>
  </si>
  <si>
    <t>2110</t>
  </si>
  <si>
    <t>80117</t>
  </si>
  <si>
    <t xml:space="preserve">  rządowej zlecone ustawami do realizacji przez powiat</t>
  </si>
  <si>
    <t>80130</t>
  </si>
  <si>
    <t xml:space="preserve">22 sierpnia 2019 r.; Nr 119/2019 Prezydenta Miasta Konina z dnia 29 sierpnia 2019 r.; Nr 189 Rady Miasta Konina </t>
  </si>
  <si>
    <t xml:space="preserve">           1) kwota  wydatków  gminy  ogółem                      </t>
  </si>
  <si>
    <t xml:space="preserve">   rządowej zlecone ustawami do realizacji przez powiat</t>
  </si>
  <si>
    <t>W części dotyczącej dochodów  gminy</t>
  </si>
  <si>
    <t>855</t>
  </si>
  <si>
    <t>2010</t>
  </si>
  <si>
    <t>85401</t>
  </si>
  <si>
    <t>700</t>
  </si>
  <si>
    <t>70005</t>
  </si>
  <si>
    <t xml:space="preserve">   rządowej zlecone gminie ustawami </t>
  </si>
  <si>
    <t>3. W Załączniku Nr 1 do uchwały budżetowej dokonuje się następujących zmian:</t>
  </si>
  <si>
    <t>6. W Załączniku Nr 2 do uchwały budżetowej dokonuje się następujących zmian:</t>
  </si>
  <si>
    <t xml:space="preserve">  rządowej zlecone gminie ustawami </t>
  </si>
  <si>
    <t xml:space="preserve">           a) dochody bieżące w wysokości                                        </t>
  </si>
  <si>
    <t xml:space="preserve">           zastępuje się kwotą</t>
  </si>
  <si>
    <t xml:space="preserve">          zastępuje się kwotą</t>
  </si>
  <si>
    <t xml:space="preserve">          a) dochody bieżące w wysokości                                        </t>
  </si>
  <si>
    <t xml:space="preserve">           1) kwotę  dochodów  gminy  ogółem                      </t>
  </si>
  <si>
    <t xml:space="preserve">         2) kwotę dochodów powiatu ogółem                                                                                  </t>
  </si>
  <si>
    <t>85219</t>
  </si>
  <si>
    <t>z dnia 18 września 2019 r.; Nr 124/2019 Prezydenta Miasta Konina z dnia 19 września 2019 r.; Nr 128/2019 Prezydenta</t>
  </si>
  <si>
    <t>85504</t>
  </si>
  <si>
    <t>85510</t>
  </si>
  <si>
    <t>80104</t>
  </si>
  <si>
    <t>80115</t>
  </si>
  <si>
    <t>80152</t>
  </si>
  <si>
    <t>80120</t>
  </si>
  <si>
    <t>85202</t>
  </si>
  <si>
    <t>2030</t>
  </si>
  <si>
    <t>85501</t>
  </si>
  <si>
    <t>853</t>
  </si>
  <si>
    <t>85395</t>
  </si>
  <si>
    <t>85505</t>
  </si>
  <si>
    <r>
      <t xml:space="preserve">W Załączniku  nr 3 do uchwały budżetowej obejmującym  </t>
    </r>
    <r>
      <rPr>
        <i/>
        <sz val="12"/>
        <rFont val="Times New Roman"/>
        <family val="1"/>
      </rPr>
      <t xml:space="preserve">"Plan wydatków majątkowych realizowanych </t>
    </r>
  </si>
  <si>
    <r>
      <t>ze środków budżetowych miasta Konina na 2019 rok "</t>
    </r>
    <r>
      <rPr>
        <sz val="12"/>
        <rFont val="Times New Roman"/>
        <family val="1"/>
      </rPr>
      <t xml:space="preserve"> dokonuje się następujących zmian:</t>
    </r>
  </si>
  <si>
    <t>Zmniejsza się plan wydatków o kwotę</t>
  </si>
  <si>
    <t>75023</t>
  </si>
  <si>
    <t>75095</t>
  </si>
  <si>
    <t xml:space="preserve">          b) kwotę wydatków majątkowych ogółem                      </t>
  </si>
  <si>
    <t>80148</t>
  </si>
  <si>
    <t>Miasta Konina z dnia 26 września 2019 r.; Nr 131/2019 Prezydenta Miasta Konina z dnia 9 października 2019 r.;</t>
  </si>
  <si>
    <t>80153</t>
  </si>
  <si>
    <t>75011</t>
  </si>
  <si>
    <t>75020</t>
  </si>
  <si>
    <t>85321</t>
  </si>
  <si>
    <t>900</t>
  </si>
  <si>
    <t>90002</t>
  </si>
  <si>
    <t>851</t>
  </si>
  <si>
    <t>85154</t>
  </si>
  <si>
    <t>6430</t>
  </si>
  <si>
    <t>710</t>
  </si>
  <si>
    <t>71015</t>
  </si>
  <si>
    <t>754</t>
  </si>
  <si>
    <t>75411</t>
  </si>
  <si>
    <t>W części dotyczącej zadań powiatu</t>
  </si>
  <si>
    <t>80140</t>
  </si>
  <si>
    <t>75075</t>
  </si>
  <si>
    <t>80102</t>
  </si>
  <si>
    <t>85403</t>
  </si>
  <si>
    <t>85446</t>
  </si>
  <si>
    <t>80145</t>
  </si>
  <si>
    <t>Zwiększa się plan wydatków o kwotę</t>
  </si>
  <si>
    <t>dz.801 rozdz.80120 § 6050 zmniejsza się o kwotę</t>
  </si>
  <si>
    <t>dz.852 rozdz.85202 § 6050 zwiększa się o kwotę</t>
  </si>
  <si>
    <t>Dostosowanie budynku mieszkalnego DPS do przepisów p.poż.</t>
  </si>
  <si>
    <t>starej części budynku I LO w Koninie</t>
  </si>
  <si>
    <t xml:space="preserve">Opracowanie dokumentacji projektowo-kosztorysowej - modernizacja dachu </t>
  </si>
  <si>
    <t>85410</t>
  </si>
  <si>
    <t xml:space="preserve">        b) dochody majątkowe w wysokości                                        </t>
  </si>
  <si>
    <t>80195</t>
  </si>
  <si>
    <t>80150</t>
  </si>
  <si>
    <t>926</t>
  </si>
  <si>
    <t>92604</t>
  </si>
  <si>
    <t>W części dotyczącej zadań gminy</t>
  </si>
  <si>
    <t>dz.926 rozdz.92604 § 6060 zmniejsza się o kwotę</t>
  </si>
  <si>
    <t>Zakup ciągnika wraz z wyposażeniem</t>
  </si>
  <si>
    <t>85415</t>
  </si>
  <si>
    <t>2040</t>
  </si>
  <si>
    <t>85508</t>
  </si>
  <si>
    <t>2130</t>
  </si>
  <si>
    <t>85417</t>
  </si>
  <si>
    <t>92695</t>
  </si>
  <si>
    <t>85213</t>
  </si>
  <si>
    <t>85216</t>
  </si>
  <si>
    <t>85502</t>
  </si>
  <si>
    <t>75045</t>
  </si>
  <si>
    <t xml:space="preserve">                                     z dnia 30 października 2019 roku</t>
  </si>
  <si>
    <t>85205</t>
  </si>
  <si>
    <t>85220</t>
  </si>
  <si>
    <t xml:space="preserve">                                     ZARZĄDZENIE  NR  140/2019  </t>
  </si>
  <si>
    <t>Nr 212 Rady Miasta Konina z dnia 30 października 2019 r.</t>
  </si>
  <si>
    <t>600</t>
  </si>
  <si>
    <t>60004</t>
  </si>
  <si>
    <t>60016</t>
  </si>
  <si>
    <t>90095</t>
  </si>
  <si>
    <t>4. W § 1 ust. 3</t>
  </si>
  <si>
    <t>5. W Załączniku Nr 2 do uchwały budżetowej dokonuje się następujących zmian:</t>
  </si>
  <si>
    <t>7. W § 1  w ust. 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</si>
</sst>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64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sz val="11"/>
      <name val="Times New Roman CE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i/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0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3" fillId="0" borderId="0" xfId="52" applyFont="1" applyFill="1">
      <alignment/>
      <protection/>
    </xf>
    <xf numFmtId="0" fontId="8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52" applyFont="1" applyFill="1">
      <alignment/>
      <protection/>
    </xf>
    <xf numFmtId="0" fontId="8" fillId="0" borderId="0" xfId="53" applyFont="1" applyFill="1" applyAlignment="1">
      <alignment vertical="center"/>
      <protection/>
    </xf>
    <xf numFmtId="4" fontId="12" fillId="0" borderId="0" xfId="53" applyNumberFormat="1" applyFont="1" applyFill="1" applyAlignment="1">
      <alignment horizontal="right" vertical="center"/>
      <protection/>
    </xf>
    <xf numFmtId="0" fontId="8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4" fontId="3" fillId="0" borderId="0" xfId="53" applyNumberFormat="1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4" fontId="10" fillId="0" borderId="0" xfId="52" applyNumberFormat="1" applyFont="1" applyFill="1" applyAlignment="1">
      <alignment vertical="center"/>
      <protection/>
    </xf>
    <xf numFmtId="4" fontId="5" fillId="0" borderId="0" xfId="52" applyNumberFormat="1" applyFont="1" applyFill="1" applyAlignment="1">
      <alignment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1" xfId="52" applyFont="1" applyFill="1" applyBorder="1">
      <alignment/>
      <protection/>
    </xf>
    <xf numFmtId="0" fontId="8" fillId="0" borderId="12" xfId="52" applyFont="1" applyFill="1" applyBorder="1">
      <alignment/>
      <protection/>
    </xf>
    <xf numFmtId="0" fontId="8" fillId="0" borderId="13" xfId="52" applyFont="1" applyFill="1" applyBorder="1" applyAlignment="1">
      <alignment horizontal="center"/>
      <protection/>
    </xf>
    <xf numFmtId="0" fontId="8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4" xfId="52" applyFont="1" applyFill="1" applyBorder="1" applyAlignment="1">
      <alignment horizontal="center" vertical="top"/>
      <protection/>
    </xf>
    <xf numFmtId="0" fontId="9" fillId="0" borderId="15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/>
      <protection/>
    </xf>
    <xf numFmtId="4" fontId="14" fillId="0" borderId="0" xfId="52" applyNumberFormat="1" applyFont="1" applyFill="1" applyBorder="1" applyAlignment="1">
      <alignment horizontal="right"/>
      <protection/>
    </xf>
    <xf numFmtId="4" fontId="14" fillId="0" borderId="0" xfId="52" applyNumberFormat="1" applyFont="1" applyFill="1" applyBorder="1">
      <alignment/>
      <protection/>
    </xf>
    <xf numFmtId="0" fontId="13" fillId="0" borderId="0" xfId="52" applyFont="1" applyFill="1" applyAlignment="1">
      <alignment horizontal="center"/>
      <protection/>
    </xf>
    <xf numFmtId="4" fontId="2" fillId="0" borderId="0" xfId="52" applyNumberFormat="1" applyFont="1" applyFill="1">
      <alignment/>
      <protection/>
    </xf>
    <xf numFmtId="4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5" fillId="0" borderId="12" xfId="52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0" xfId="0" applyNumberFormat="1" applyFont="1" applyFill="1" applyAlignment="1">
      <alignment vertical="center"/>
    </xf>
    <xf numFmtId="0" fontId="5" fillId="0" borderId="15" xfId="52" applyFont="1" applyFill="1" applyBorder="1" applyAlignment="1">
      <alignment horizontal="center" vertical="center"/>
      <protection/>
    </xf>
    <xf numFmtId="4" fontId="8" fillId="0" borderId="0" xfId="0" applyNumberFormat="1" applyFont="1" applyFill="1" applyAlignment="1">
      <alignment/>
    </xf>
    <xf numFmtId="0" fontId="20" fillId="0" borderId="0" xfId="53" applyFont="1" applyFill="1" applyAlignment="1">
      <alignment horizontal="center" vertical="center"/>
      <protection/>
    </xf>
    <xf numFmtId="4" fontId="5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3" fillId="0" borderId="16" xfId="52" applyFont="1" applyFill="1" applyBorder="1" applyAlignment="1">
      <alignment horizontal="center" vertical="center"/>
      <protection/>
    </xf>
    <xf numFmtId="4" fontId="3" fillId="0" borderId="14" xfId="52" applyNumberFormat="1" applyFont="1" applyFill="1" applyBorder="1" applyAlignment="1">
      <alignment horizontal="right" vertical="center"/>
      <protection/>
    </xf>
    <xf numFmtId="4" fontId="10" fillId="0" borderId="0" xfId="52" applyNumberFormat="1" applyFont="1" applyFill="1">
      <alignment/>
      <protection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52" applyNumberFormat="1" applyFont="1" applyFill="1" applyAlignment="1">
      <alignment vertical="center"/>
      <protection/>
    </xf>
    <xf numFmtId="49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49" fontId="8" fillId="0" borderId="14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vertical="center"/>
      <protection/>
    </xf>
    <xf numFmtId="49" fontId="18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49" fontId="18" fillId="0" borderId="0" xfId="53" applyNumberFormat="1" applyFont="1" applyFill="1" applyAlignment="1">
      <alignment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>
      <alignment/>
      <protection/>
    </xf>
    <xf numFmtId="49" fontId="11" fillId="0" borderId="0" xfId="52" applyNumberFormat="1" applyFont="1" applyFill="1">
      <alignment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2" fillId="0" borderId="0" xfId="53" applyNumberFormat="1" applyFont="1" applyFill="1">
      <alignment/>
      <protection/>
    </xf>
    <xf numFmtId="49" fontId="3" fillId="0" borderId="0" xfId="53" applyNumberFormat="1" applyFont="1" applyFill="1">
      <alignment/>
      <protection/>
    </xf>
    <xf numFmtId="49" fontId="13" fillId="0" borderId="0" xfId="52" applyNumberFormat="1" applyFont="1" applyFill="1">
      <alignment/>
      <protection/>
    </xf>
    <xf numFmtId="49" fontId="8" fillId="0" borderId="10" xfId="52" applyNumberFormat="1" applyFont="1" applyFill="1" applyBorder="1">
      <alignment/>
      <protection/>
    </xf>
    <xf numFmtId="49" fontId="8" fillId="0" borderId="13" xfId="52" applyNumberFormat="1" applyFont="1" applyFill="1" applyBorder="1">
      <alignment/>
      <protection/>
    </xf>
    <xf numFmtId="49" fontId="13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49" fontId="8" fillId="0" borderId="0" xfId="53" applyNumberFormat="1" applyFont="1" applyFill="1">
      <alignment/>
      <protection/>
    </xf>
    <xf numFmtId="49" fontId="3" fillId="0" borderId="0" xfId="52" applyNumberFormat="1" applyFont="1" applyFill="1" applyAlignment="1">
      <alignment horizontal="center"/>
      <protection/>
    </xf>
    <xf numFmtId="49" fontId="14" fillId="0" borderId="0" xfId="52" applyNumberFormat="1" applyFont="1" applyFill="1" applyBorder="1">
      <alignment/>
      <protection/>
    </xf>
    <xf numFmtId="49" fontId="13" fillId="0" borderId="0" xfId="55" applyNumberFormat="1" applyFont="1" applyFill="1">
      <alignment/>
      <protection/>
    </xf>
    <xf numFmtId="49" fontId="5" fillId="0" borderId="11" xfId="52" applyNumberFormat="1" applyFont="1" applyFill="1" applyBorder="1" applyAlignment="1">
      <alignment horizontal="left" vertical="center"/>
      <protection/>
    </xf>
    <xf numFmtId="4" fontId="3" fillId="0" borderId="15" xfId="52" applyNumberFormat="1" applyFont="1" applyFill="1" applyBorder="1" applyAlignment="1">
      <alignment horizontal="right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4" fillId="0" borderId="0" xfId="52" applyNumberFormat="1" applyFont="1" applyFill="1">
      <alignment/>
      <protection/>
    </xf>
    <xf numFmtId="4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/>
    </xf>
    <xf numFmtId="49" fontId="6" fillId="0" borderId="0" xfId="55" applyNumberFormat="1" applyFont="1" applyFill="1" applyBorder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" fontId="6" fillId="0" borderId="0" xfId="55" applyNumberFormat="1" applyFont="1" applyFill="1" applyAlignment="1">
      <alignment horizontal="left"/>
      <protection/>
    </xf>
    <xf numFmtId="0" fontId="3" fillId="0" borderId="15" xfId="52" applyFont="1" applyFill="1" applyBorder="1" applyAlignment="1">
      <alignment horizontal="center" vertical="center"/>
      <protection/>
    </xf>
    <xf numFmtId="49" fontId="21" fillId="0" borderId="0" xfId="52" applyNumberFormat="1" applyFont="1" applyFill="1" applyAlignment="1">
      <alignment horizontal="left"/>
      <protection/>
    </xf>
    <xf numFmtId="49" fontId="21" fillId="0" borderId="0" xfId="56" applyNumberFormat="1" applyFont="1" applyFill="1" applyAlignment="1">
      <alignment horizontal="left"/>
      <protection/>
    </xf>
    <xf numFmtId="49" fontId="6" fillId="0" borderId="0" xfId="56" applyNumberFormat="1" applyFont="1" applyFill="1" applyAlignment="1">
      <alignment horizontal="left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" fontId="2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7" fillId="0" borderId="0" xfId="56" applyNumberFormat="1" applyFont="1" applyFill="1" applyAlignment="1">
      <alignment horizontal="left" vertical="center"/>
      <protection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4" fillId="0" borderId="0" xfId="54" applyNumberFormat="1" applyFont="1" applyFill="1" applyAlignment="1">
      <alignment vertical="center"/>
      <protection/>
    </xf>
    <xf numFmtId="49" fontId="18" fillId="0" borderId="0" xfId="54" applyNumberFormat="1" applyFont="1" applyFill="1" applyAlignment="1">
      <alignment vertical="center"/>
      <protection/>
    </xf>
    <xf numFmtId="49" fontId="18" fillId="0" borderId="0" xfId="54" applyNumberFormat="1" applyFont="1" applyFill="1" applyAlignment="1">
      <alignment horizontal="center" vertical="center"/>
      <protection/>
    </xf>
    <xf numFmtId="0" fontId="18" fillId="0" borderId="0" xfId="53" applyFont="1" applyFill="1" applyAlignment="1">
      <alignment vertical="center"/>
      <protection/>
    </xf>
    <xf numFmtId="49" fontId="3" fillId="0" borderId="0" xfId="54" applyNumberFormat="1" applyFont="1" applyFill="1" applyAlignment="1">
      <alignment vertical="center"/>
      <protection/>
    </xf>
    <xf numFmtId="49" fontId="6" fillId="0" borderId="0" xfId="54" applyNumberFormat="1" applyFont="1" applyFill="1" applyAlignment="1">
      <alignment vertical="center"/>
      <protection/>
    </xf>
    <xf numFmtId="49" fontId="6" fillId="0" borderId="0" xfId="54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53" applyFont="1" applyFill="1" applyAlignment="1">
      <alignment vertical="center"/>
      <protection/>
    </xf>
    <xf numFmtId="49" fontId="8" fillId="0" borderId="10" xfId="52" applyNumberFormat="1" applyFont="1" applyFill="1" applyBorder="1" applyAlignment="1">
      <alignment vertical="center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vertical="center"/>
      <protection/>
    </xf>
    <xf numFmtId="0" fontId="8" fillId="0" borderId="12" xfId="52" applyFont="1" applyFill="1" applyBorder="1" applyAlignment="1">
      <alignment vertical="center"/>
      <protection/>
    </xf>
    <xf numFmtId="49" fontId="8" fillId="0" borderId="13" xfId="52" applyNumberFormat="1" applyFont="1" applyFill="1" applyBorder="1" applyAlignment="1">
      <alignment vertical="center"/>
      <protection/>
    </xf>
    <xf numFmtId="49" fontId="8" fillId="0" borderId="13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62" fillId="0" borderId="16" xfId="52" applyNumberFormat="1" applyFont="1" applyFill="1" applyBorder="1" applyAlignment="1">
      <alignment horizontal="right" vertical="center"/>
      <protection/>
    </xf>
    <xf numFmtId="49" fontId="8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5" fillId="0" borderId="0" xfId="52" applyNumberFormat="1" applyFont="1" applyFill="1" applyAlignment="1">
      <alignment vertical="center"/>
      <protection/>
    </xf>
    <xf numFmtId="49" fontId="19" fillId="0" borderId="0" xfId="52" applyNumberFormat="1" applyFont="1" applyFill="1" applyAlignment="1">
      <alignment horizontal="center" vertical="center"/>
      <protection/>
    </xf>
    <xf numFmtId="49" fontId="6" fillId="0" borderId="0" xfId="52" applyNumberFormat="1" applyFont="1" applyFill="1" applyAlignment="1">
      <alignment vertical="center"/>
      <protection/>
    </xf>
    <xf numFmtId="49" fontId="17" fillId="0" borderId="0" xfId="0" applyNumberFormat="1" applyFont="1" applyFill="1" applyAlignment="1">
      <alignment horizontal="left" vertical="center"/>
    </xf>
    <xf numFmtId="49" fontId="17" fillId="0" borderId="0" xfId="53" applyNumberFormat="1" applyFont="1" applyFill="1" applyAlignment="1">
      <alignment vertical="center"/>
      <protection/>
    </xf>
    <xf numFmtId="49" fontId="6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/>
    </xf>
    <xf numFmtId="0" fontId="5" fillId="0" borderId="0" xfId="52" applyFont="1" applyFill="1" applyBorder="1" applyAlignment="1">
      <alignment horizontal="center"/>
      <protection/>
    </xf>
    <xf numFmtId="4" fontId="5" fillId="0" borderId="0" xfId="52" applyNumberFormat="1" applyFont="1" applyFill="1" applyBorder="1" applyAlignment="1">
      <alignment horizontal="right"/>
      <protection/>
    </xf>
    <xf numFmtId="49" fontId="22" fillId="0" borderId="0" xfId="53" applyNumberFormat="1" applyFont="1" applyFill="1">
      <alignment/>
      <protection/>
    </xf>
    <xf numFmtId="4" fontId="5" fillId="0" borderId="0" xfId="53" applyNumberFormat="1" applyFont="1" applyFill="1">
      <alignment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" fontId="62" fillId="0" borderId="0" xfId="52" applyNumberFormat="1" applyFont="1" applyFill="1" applyBorder="1" applyAlignment="1">
      <alignment horizontal="right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49" fontId="18" fillId="0" borderId="0" xfId="56" applyNumberFormat="1" applyFont="1" applyFill="1" applyAlignment="1">
      <alignment horizontal="left" vertical="center"/>
      <protection/>
    </xf>
    <xf numFmtId="0" fontId="23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4" fontId="23" fillId="0" borderId="0" xfId="53" applyNumberFormat="1" applyFont="1" applyFill="1">
      <alignment/>
      <protection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0" fontId="17" fillId="0" borderId="0" xfId="0" applyFont="1" applyFill="1" applyAlignment="1">
      <alignment horizontal="left"/>
    </xf>
    <xf numFmtId="49" fontId="22" fillId="0" borderId="0" xfId="52" applyNumberFormat="1" applyFont="1" applyFill="1" applyBorder="1">
      <alignment/>
      <protection/>
    </xf>
    <xf numFmtId="4" fontId="2" fillId="0" borderId="0" xfId="53" applyNumberFormat="1" applyFont="1" applyFill="1" applyAlignment="1">
      <alignment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4" fontId="5" fillId="0" borderId="14" xfId="52" applyNumberFormat="1" applyFont="1" applyFill="1" applyBorder="1" applyAlignment="1">
      <alignment horizontal="right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Border="1" applyAlignment="1">
      <alignment vertical="center"/>
      <protection/>
    </xf>
    <xf numFmtId="4" fontId="5" fillId="0" borderId="16" xfId="52" applyNumberFormat="1" applyFont="1" applyFill="1" applyBorder="1" applyAlignment="1">
      <alignment horizontal="right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0" fontId="3" fillId="32" borderId="16" xfId="52" applyFont="1" applyFill="1" applyBorder="1" applyAlignment="1">
      <alignment horizontal="center" vertical="center"/>
      <protection/>
    </xf>
    <xf numFmtId="0" fontId="3" fillId="32" borderId="15" xfId="52" applyFont="1" applyFill="1" applyBorder="1" applyAlignment="1">
      <alignment horizontal="center" vertical="center"/>
      <protection/>
    </xf>
    <xf numFmtId="0" fontId="3" fillId="32" borderId="12" xfId="52" applyFont="1" applyFill="1" applyBorder="1" applyAlignment="1">
      <alignment horizontal="center" vertical="center"/>
      <protection/>
    </xf>
    <xf numFmtId="49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6" fillId="0" borderId="0" xfId="53" applyFont="1" applyFill="1">
      <alignment/>
      <protection/>
    </xf>
    <xf numFmtId="4" fontId="6" fillId="0" borderId="0" xfId="53" applyNumberFormat="1" applyFont="1" applyFill="1">
      <alignment/>
      <protection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6" fillId="0" borderId="0" xfId="53" applyNumberFormat="1" applyFont="1" applyFill="1" applyAlignment="1">
      <alignment vertical="center"/>
      <protection/>
    </xf>
    <xf numFmtId="0" fontId="6" fillId="0" borderId="0" xfId="53" applyFont="1" applyFill="1" applyAlignment="1">
      <alignment horizontal="center" vertical="center"/>
      <protection/>
    </xf>
    <xf numFmtId="4" fontId="6" fillId="0" borderId="0" xfId="53" applyNumberFormat="1" applyFont="1" applyFill="1" applyAlignment="1">
      <alignment vertical="center"/>
      <protection/>
    </xf>
    <xf numFmtId="0" fontId="6" fillId="0" borderId="0" xfId="53" applyFont="1" applyFill="1" applyAlignment="1">
      <alignment horizontal="center"/>
      <protection/>
    </xf>
    <xf numFmtId="0" fontId="22" fillId="0" borderId="0" xfId="53" applyFont="1" applyFill="1">
      <alignment/>
      <protection/>
    </xf>
    <xf numFmtId="0" fontId="22" fillId="0" borderId="0" xfId="53" applyFont="1" applyFill="1" applyAlignment="1">
      <alignment horizontal="center"/>
      <protection/>
    </xf>
    <xf numFmtId="4" fontId="22" fillId="0" borderId="0" xfId="53" applyNumberFormat="1" applyFont="1" applyFill="1">
      <alignment/>
      <protection/>
    </xf>
    <xf numFmtId="4" fontId="22" fillId="0" borderId="0" xfId="0" applyNumberFormat="1" applyFont="1" applyFill="1" applyAlignment="1">
      <alignment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2" fillId="32" borderId="0" xfId="53" applyNumberFormat="1" applyFont="1" applyFill="1" applyAlignment="1">
      <alignment vertical="center"/>
      <protection/>
    </xf>
    <xf numFmtId="49" fontId="8" fillId="32" borderId="0" xfId="53" applyNumberFormat="1" applyFont="1" applyFill="1" applyAlignment="1">
      <alignment vertical="center"/>
      <protection/>
    </xf>
    <xf numFmtId="0" fontId="8" fillId="32" borderId="0" xfId="53" applyFont="1" applyFill="1" applyAlignment="1">
      <alignment horizontal="center" vertical="center"/>
      <protection/>
    </xf>
    <xf numFmtId="0" fontId="8" fillId="32" borderId="0" xfId="53" applyFont="1" applyFill="1" applyAlignment="1">
      <alignment vertical="center"/>
      <protection/>
    </xf>
    <xf numFmtId="49" fontId="3" fillId="32" borderId="14" xfId="52" applyNumberFormat="1" applyFont="1" applyFill="1" applyBorder="1" applyAlignment="1">
      <alignment horizontal="center" vertical="center"/>
      <protection/>
    </xf>
    <xf numFmtId="49" fontId="8" fillId="0" borderId="0" xfId="52" applyNumberFormat="1" applyFont="1" applyFill="1" applyAlignment="1">
      <alignment horizontal="center"/>
      <protection/>
    </xf>
    <xf numFmtId="4" fontId="8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vertical="center"/>
      <protection/>
    </xf>
    <xf numFmtId="49" fontId="3" fillId="0" borderId="0" xfId="55" applyNumberFormat="1" applyFont="1" applyFill="1">
      <alignment/>
      <protection/>
    </xf>
    <xf numFmtId="49" fontId="8" fillId="0" borderId="0" xfId="52" applyNumberFormat="1" applyFont="1" applyFill="1">
      <alignment/>
      <protection/>
    </xf>
    <xf numFmtId="49" fontId="23" fillId="0" borderId="0" xfId="55" applyNumberFormat="1" applyFont="1" applyFill="1">
      <alignment/>
      <protection/>
    </xf>
    <xf numFmtId="49" fontId="6" fillId="0" borderId="0" xfId="55" applyNumberFormat="1" applyFont="1" applyFill="1" applyAlignment="1">
      <alignment horizontal="center"/>
      <protection/>
    </xf>
    <xf numFmtId="4" fontId="6" fillId="0" borderId="0" xfId="55" applyNumberFormat="1" applyFont="1" applyFill="1" applyAlignment="1">
      <alignment horizontal="right"/>
      <protection/>
    </xf>
    <xf numFmtId="49" fontId="25" fillId="0" borderId="0" xfId="52" applyNumberFormat="1" applyFont="1" applyFill="1">
      <alignment/>
      <protection/>
    </xf>
    <xf numFmtId="49" fontId="6" fillId="0" borderId="0" xfId="55" applyNumberFormat="1" applyFont="1" applyFill="1">
      <alignment/>
      <protection/>
    </xf>
    <xf numFmtId="49" fontId="11" fillId="0" borderId="0" xfId="55" applyNumberFormat="1" applyFont="1" applyFill="1" applyAlignment="1">
      <alignment horizontal="center"/>
      <protection/>
    </xf>
    <xf numFmtId="4" fontId="11" fillId="0" borderId="0" xfId="0" applyNumberFormat="1" applyFont="1" applyFill="1" applyAlignment="1">
      <alignment vertical="center"/>
    </xf>
    <xf numFmtId="49" fontId="5" fillId="0" borderId="0" xfId="52" applyNumberFormat="1" applyFont="1" applyFill="1">
      <alignment/>
      <protection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6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5" fillId="32" borderId="12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32" borderId="13" xfId="52" applyNumberFormat="1" applyFont="1" applyFill="1" applyBorder="1" applyAlignment="1">
      <alignment horizontal="center" vertical="center"/>
      <protection/>
    </xf>
    <xf numFmtId="49" fontId="18" fillId="32" borderId="0" xfId="0" applyNumberFormat="1" applyFont="1" applyFill="1" applyAlignment="1">
      <alignment horizontal="left" vertical="center"/>
    </xf>
    <xf numFmtId="49" fontId="17" fillId="32" borderId="0" xfId="0" applyNumberFormat="1" applyFont="1" applyFill="1" applyAlignment="1">
      <alignment horizontal="center" vertical="center"/>
    </xf>
    <xf numFmtId="0" fontId="17" fillId="32" borderId="0" xfId="0" applyFont="1" applyFill="1" applyAlignment="1">
      <alignment horizontal="left" vertical="center"/>
    </xf>
    <xf numFmtId="0" fontId="18" fillId="32" borderId="0" xfId="0" applyFont="1" applyFill="1" applyAlignment="1">
      <alignment horizontal="left" vertical="center"/>
    </xf>
    <xf numFmtId="0" fontId="8" fillId="32" borderId="0" xfId="52" applyFont="1" applyFill="1" applyAlignment="1">
      <alignment vertical="center"/>
      <protection/>
    </xf>
    <xf numFmtId="4" fontId="5" fillId="32" borderId="0" xfId="52" applyNumberFormat="1" applyFont="1" applyFill="1" applyAlignment="1">
      <alignment vertical="center"/>
      <protection/>
    </xf>
    <xf numFmtId="49" fontId="18" fillId="32" borderId="0" xfId="53" applyNumberFormat="1" applyFont="1" applyFill="1" applyAlignment="1">
      <alignment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3" fillId="0" borderId="16" xfId="52" applyNumberFormat="1" applyFont="1" applyFill="1" applyBorder="1" applyAlignment="1">
      <alignment horizontal="right" vertical="center"/>
      <protection/>
    </xf>
    <xf numFmtId="49" fontId="3" fillId="32" borderId="12" xfId="52" applyNumberFormat="1" applyFont="1" applyFill="1" applyBorder="1" applyAlignment="1">
      <alignment horizontal="center" vertical="center"/>
      <protection/>
    </xf>
    <xf numFmtId="49" fontId="6" fillId="32" borderId="0" xfId="56" applyNumberFormat="1" applyFont="1" applyFill="1" applyAlignment="1">
      <alignment horizontal="left" vertical="center"/>
      <protection/>
    </xf>
    <xf numFmtId="0" fontId="6" fillId="32" borderId="0" xfId="53" applyFont="1" applyFill="1">
      <alignment/>
      <protection/>
    </xf>
    <xf numFmtId="0" fontId="6" fillId="32" borderId="0" xfId="53" applyFont="1" applyFill="1" applyAlignment="1">
      <alignment horizontal="center"/>
      <protection/>
    </xf>
    <xf numFmtId="4" fontId="6" fillId="32" borderId="0" xfId="53" applyNumberFormat="1" applyFont="1" applyFill="1">
      <alignment/>
      <protection/>
    </xf>
    <xf numFmtId="4" fontId="3" fillId="32" borderId="15" xfId="52" applyNumberFormat="1" applyFont="1" applyFill="1" applyBorder="1" applyAlignment="1">
      <alignment horizontal="right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5" xfId="52"/>
    <cellStyle name="Normalny_Arkusz8" xfId="53"/>
    <cellStyle name="Normalny_Uch.RMK luty" xfId="54"/>
    <cellStyle name="Normalny_Uch.RMK marzec" xfId="55"/>
    <cellStyle name="Normalny_ZPMK luty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1"/>
  <sheetViews>
    <sheetView tabSelected="1" zoomScale="125" zoomScaleNormal="125" zoomScalePageLayoutView="0" workbookViewId="0" topLeftCell="A1">
      <selection activeCell="J10" sqref="J10"/>
    </sheetView>
  </sheetViews>
  <sheetFormatPr defaultColWidth="9.140625" defaultRowHeight="12.75"/>
  <cols>
    <col min="1" max="1" width="5.421875" style="74" customWidth="1"/>
    <col min="2" max="2" width="7.140625" style="74" customWidth="1"/>
    <col min="3" max="3" width="7.00390625" style="6" customWidth="1"/>
    <col min="4" max="4" width="15.28125" style="6" customWidth="1"/>
    <col min="5" max="5" width="13.140625" style="6" customWidth="1"/>
    <col min="6" max="6" width="15.421875" style="6" customWidth="1"/>
    <col min="7" max="7" width="13.57421875" style="6" customWidth="1"/>
    <col min="8" max="8" width="22.00390625" style="36" customWidth="1"/>
    <col min="9" max="9" width="18.8515625" style="40" customWidth="1"/>
    <col min="10" max="10" width="11.140625" style="40" customWidth="1"/>
    <col min="11" max="16384" width="9.140625" style="6" customWidth="1"/>
  </cols>
  <sheetData>
    <row r="1" spans="1:10" s="1" customFormat="1" ht="19.5" customHeight="1">
      <c r="A1" s="179" t="s">
        <v>156</v>
      </c>
      <c r="B1" s="180"/>
      <c r="C1" s="181"/>
      <c r="D1" s="9"/>
      <c r="E1" s="9"/>
      <c r="F1" s="9"/>
      <c r="G1" s="9"/>
      <c r="H1" s="41"/>
      <c r="I1" s="2"/>
      <c r="J1" s="2"/>
    </row>
    <row r="2" spans="1:10" s="1" customFormat="1" ht="19.5" customHeight="1">
      <c r="A2" s="179" t="s">
        <v>2</v>
      </c>
      <c r="B2" s="180"/>
      <c r="C2" s="181"/>
      <c r="D2" s="182"/>
      <c r="E2" s="182"/>
      <c r="F2" s="182"/>
      <c r="G2" s="9"/>
      <c r="H2" s="10"/>
      <c r="I2" s="2"/>
      <c r="J2" s="2"/>
    </row>
    <row r="3" spans="1:10" s="1" customFormat="1" ht="19.5" customHeight="1">
      <c r="A3" s="179" t="s">
        <v>153</v>
      </c>
      <c r="B3" s="180"/>
      <c r="C3" s="181"/>
      <c r="D3" s="182"/>
      <c r="E3" s="182"/>
      <c r="F3" s="182"/>
      <c r="G3" s="9"/>
      <c r="H3" s="153"/>
      <c r="I3" s="2"/>
      <c r="J3" s="2"/>
    </row>
    <row r="4" spans="1:8" ht="19.5" customHeight="1">
      <c r="A4" s="68"/>
      <c r="B4" s="75"/>
      <c r="C4" s="11"/>
      <c r="D4" s="4"/>
      <c r="E4" s="4"/>
      <c r="F4" s="4"/>
      <c r="G4" s="4"/>
      <c r="H4" s="12"/>
    </row>
    <row r="5" spans="1:8" ht="18" customHeight="1">
      <c r="A5" s="68" t="s">
        <v>19</v>
      </c>
      <c r="B5" s="75"/>
      <c r="C5" s="11"/>
      <c r="D5" s="4"/>
      <c r="E5" s="4"/>
      <c r="F5" s="4"/>
      <c r="G5" s="4"/>
      <c r="H5" s="12"/>
    </row>
    <row r="6" spans="1:8" ht="18" customHeight="1">
      <c r="A6" s="68"/>
      <c r="B6" s="75"/>
      <c r="C6" s="11"/>
      <c r="D6" s="4"/>
      <c r="E6" s="4"/>
      <c r="F6" s="4"/>
      <c r="G6" s="4"/>
      <c r="H6" s="12"/>
    </row>
    <row r="7" spans="1:8" ht="18" customHeight="1">
      <c r="A7" s="65" t="s">
        <v>3</v>
      </c>
      <c r="B7" s="76"/>
      <c r="C7" s="8"/>
      <c r="D7" s="8"/>
      <c r="E7" s="4"/>
      <c r="F7" s="4"/>
      <c r="G7" s="4"/>
      <c r="H7" s="12"/>
    </row>
    <row r="8" spans="1:8" ht="18" customHeight="1">
      <c r="A8" s="65" t="s">
        <v>61</v>
      </c>
      <c r="B8" s="76"/>
      <c r="C8" s="8"/>
      <c r="D8" s="8"/>
      <c r="E8" s="4"/>
      <c r="F8" s="4"/>
      <c r="G8" s="4"/>
      <c r="H8" s="12"/>
    </row>
    <row r="9" spans="1:8" ht="18" customHeight="1">
      <c r="A9" s="65" t="s">
        <v>21</v>
      </c>
      <c r="B9" s="76"/>
      <c r="C9" s="8"/>
      <c r="D9" s="8"/>
      <c r="E9" s="4"/>
      <c r="F9" s="4"/>
      <c r="G9" s="4"/>
      <c r="H9" s="12"/>
    </row>
    <row r="10" spans="1:8" ht="18" customHeight="1">
      <c r="A10" s="66" t="s">
        <v>54</v>
      </c>
      <c r="B10" s="76"/>
      <c r="C10" s="8"/>
      <c r="D10" s="8"/>
      <c r="E10" s="4"/>
      <c r="F10" s="4"/>
      <c r="G10" s="4"/>
      <c r="H10" s="12"/>
    </row>
    <row r="11" spans="1:8" ht="18" customHeight="1">
      <c r="A11" s="66"/>
      <c r="B11" s="76"/>
      <c r="C11" s="8"/>
      <c r="D11" s="8"/>
      <c r="E11" s="4"/>
      <c r="F11" s="4"/>
      <c r="G11" s="4"/>
      <c r="H11" s="12"/>
    </row>
    <row r="12" spans="1:10" s="7" customFormat="1" ht="18" customHeight="1">
      <c r="A12" s="69"/>
      <c r="B12" s="69"/>
      <c r="C12" s="14"/>
      <c r="D12" s="5"/>
      <c r="E12" s="14" t="s">
        <v>6</v>
      </c>
      <c r="F12" s="5"/>
      <c r="G12" s="5"/>
      <c r="H12" s="13"/>
      <c r="I12" s="51"/>
      <c r="J12" s="51"/>
    </row>
    <row r="13" spans="1:10" s="7" customFormat="1" ht="18" customHeight="1">
      <c r="A13" s="69"/>
      <c r="B13" s="69"/>
      <c r="C13" s="14"/>
      <c r="D13" s="5"/>
      <c r="E13" s="14"/>
      <c r="F13" s="5"/>
      <c r="G13" s="5"/>
      <c r="H13" s="13"/>
      <c r="I13" s="51"/>
      <c r="J13" s="51"/>
    </row>
    <row r="14" spans="1:10" s="168" customFormat="1" ht="18" customHeight="1">
      <c r="A14" s="89" t="s">
        <v>20</v>
      </c>
      <c r="B14" s="164"/>
      <c r="C14" s="165"/>
      <c r="D14" s="165"/>
      <c r="E14" s="165"/>
      <c r="F14" s="166"/>
      <c r="G14" s="166"/>
      <c r="H14" s="167"/>
      <c r="I14" s="169"/>
      <c r="J14" s="169"/>
    </row>
    <row r="15" spans="1:10" s="168" customFormat="1" ht="18" customHeight="1">
      <c r="A15" s="90" t="s">
        <v>33</v>
      </c>
      <c r="B15" s="164"/>
      <c r="C15" s="165"/>
      <c r="D15" s="165"/>
      <c r="E15" s="165"/>
      <c r="F15" s="166"/>
      <c r="G15" s="166"/>
      <c r="H15" s="167"/>
      <c r="I15" s="169"/>
      <c r="J15" s="169"/>
    </row>
    <row r="16" spans="1:10" s="168" customFormat="1" ht="18" customHeight="1">
      <c r="A16" s="91" t="s">
        <v>32</v>
      </c>
      <c r="B16" s="170"/>
      <c r="C16" s="171"/>
      <c r="D16" s="113"/>
      <c r="E16" s="171"/>
      <c r="F16" s="113"/>
      <c r="G16" s="113"/>
      <c r="H16" s="172"/>
      <c r="I16" s="169"/>
      <c r="J16" s="169"/>
    </row>
    <row r="17" spans="1:10" s="168" customFormat="1" ht="18" customHeight="1">
      <c r="A17" s="91" t="s">
        <v>50</v>
      </c>
      <c r="B17" s="166"/>
      <c r="C17" s="173"/>
      <c r="D17" s="166"/>
      <c r="E17" s="173"/>
      <c r="F17" s="166"/>
      <c r="G17" s="166"/>
      <c r="H17" s="167"/>
      <c r="I17" s="169"/>
      <c r="J17" s="169"/>
    </row>
    <row r="18" spans="1:10" s="168" customFormat="1" ht="18" customHeight="1">
      <c r="A18" s="91" t="s">
        <v>36</v>
      </c>
      <c r="B18" s="166"/>
      <c r="C18" s="173"/>
      <c r="D18" s="166"/>
      <c r="E18" s="173"/>
      <c r="F18" s="166"/>
      <c r="G18" s="166"/>
      <c r="H18" s="167"/>
      <c r="I18" s="169"/>
      <c r="J18" s="169"/>
    </row>
    <row r="19" spans="1:10" s="168" customFormat="1" ht="18" customHeight="1">
      <c r="A19" s="91" t="s">
        <v>37</v>
      </c>
      <c r="B19" s="166"/>
      <c r="C19" s="173"/>
      <c r="D19" s="166"/>
      <c r="E19" s="173"/>
      <c r="F19" s="166"/>
      <c r="G19" s="166"/>
      <c r="H19" s="167"/>
      <c r="I19" s="169"/>
      <c r="J19" s="169"/>
    </row>
    <row r="20" spans="1:10" s="168" customFormat="1" ht="18" customHeight="1">
      <c r="A20" s="91" t="s">
        <v>51</v>
      </c>
      <c r="B20" s="166"/>
      <c r="C20" s="173"/>
      <c r="D20" s="166"/>
      <c r="E20" s="173"/>
      <c r="F20" s="166"/>
      <c r="G20" s="166"/>
      <c r="H20" s="167"/>
      <c r="I20" s="169"/>
      <c r="J20" s="169"/>
    </row>
    <row r="21" spans="1:10" s="168" customFormat="1" ht="18" customHeight="1">
      <c r="A21" s="91" t="s">
        <v>52</v>
      </c>
      <c r="B21" s="166"/>
      <c r="C21" s="173"/>
      <c r="D21" s="166"/>
      <c r="E21" s="173"/>
      <c r="F21" s="166"/>
      <c r="G21" s="166"/>
      <c r="H21" s="167"/>
      <c r="I21" s="169"/>
      <c r="J21" s="169"/>
    </row>
    <row r="22" spans="1:10" s="168" customFormat="1" ht="18" customHeight="1">
      <c r="A22" s="91" t="s">
        <v>53</v>
      </c>
      <c r="B22" s="166"/>
      <c r="C22" s="173"/>
      <c r="D22" s="166"/>
      <c r="E22" s="173"/>
      <c r="F22" s="166"/>
      <c r="G22" s="166"/>
      <c r="H22" s="167"/>
      <c r="I22" s="169"/>
      <c r="J22" s="169"/>
    </row>
    <row r="23" spans="1:10" s="168" customFormat="1" ht="18" customHeight="1">
      <c r="A23" s="91" t="s">
        <v>38</v>
      </c>
      <c r="B23" s="166"/>
      <c r="C23" s="173"/>
      <c r="D23" s="166"/>
      <c r="E23" s="173"/>
      <c r="F23" s="166"/>
      <c r="G23" s="166"/>
      <c r="H23" s="167"/>
      <c r="I23" s="169"/>
      <c r="J23" s="169"/>
    </row>
    <row r="24" spans="1:10" s="168" customFormat="1" ht="18" customHeight="1">
      <c r="A24" s="91" t="s">
        <v>40</v>
      </c>
      <c r="B24" s="166"/>
      <c r="C24" s="173"/>
      <c r="D24" s="166"/>
      <c r="E24" s="173"/>
      <c r="F24" s="166"/>
      <c r="G24" s="166"/>
      <c r="H24" s="167"/>
      <c r="I24" s="169"/>
      <c r="J24" s="169"/>
    </row>
    <row r="25" spans="1:10" s="104" customFormat="1" ht="18" customHeight="1">
      <c r="A25" s="91" t="s">
        <v>47</v>
      </c>
      <c r="B25" s="174"/>
      <c r="C25" s="175"/>
      <c r="D25" s="174"/>
      <c r="E25" s="175"/>
      <c r="F25" s="174"/>
      <c r="G25" s="174"/>
      <c r="H25" s="176"/>
      <c r="I25" s="177"/>
      <c r="J25" s="177"/>
    </row>
    <row r="26" spans="1:10" s="168" customFormat="1" ht="18" customHeight="1">
      <c r="A26" s="91" t="s">
        <v>48</v>
      </c>
      <c r="B26" s="166"/>
      <c r="C26" s="173"/>
      <c r="D26" s="166"/>
      <c r="E26" s="173"/>
      <c r="F26" s="166"/>
      <c r="G26" s="166"/>
      <c r="H26" s="167"/>
      <c r="I26" s="169"/>
      <c r="J26" s="169"/>
    </row>
    <row r="27" spans="1:10" s="168" customFormat="1" ht="18" customHeight="1">
      <c r="A27" s="91" t="s">
        <v>56</v>
      </c>
      <c r="B27" s="166"/>
      <c r="C27" s="173"/>
      <c r="D27" s="166"/>
      <c r="E27" s="173"/>
      <c r="F27" s="166"/>
      <c r="G27" s="166"/>
      <c r="H27" s="167"/>
      <c r="I27" s="169"/>
      <c r="J27" s="169"/>
    </row>
    <row r="28" spans="1:10" s="168" customFormat="1" ht="18" customHeight="1">
      <c r="A28" s="91" t="s">
        <v>67</v>
      </c>
      <c r="B28" s="166"/>
      <c r="C28" s="173"/>
      <c r="D28" s="166"/>
      <c r="E28" s="173"/>
      <c r="F28" s="166"/>
      <c r="G28" s="166"/>
      <c r="H28" s="167"/>
      <c r="I28" s="169"/>
      <c r="J28" s="169"/>
    </row>
    <row r="29" spans="1:10" s="168" customFormat="1" ht="18" customHeight="1">
      <c r="A29" s="91" t="s">
        <v>87</v>
      </c>
      <c r="B29" s="166"/>
      <c r="C29" s="173"/>
      <c r="D29" s="166"/>
      <c r="E29" s="173"/>
      <c r="F29" s="166"/>
      <c r="G29" s="166"/>
      <c r="H29" s="167"/>
      <c r="I29" s="169"/>
      <c r="J29" s="169"/>
    </row>
    <row r="30" spans="1:10" s="168" customFormat="1" ht="18" customHeight="1">
      <c r="A30" s="215" t="s">
        <v>107</v>
      </c>
      <c r="B30" s="216"/>
      <c r="C30" s="217"/>
      <c r="D30" s="216"/>
      <c r="E30" s="217"/>
      <c r="F30" s="216"/>
      <c r="G30" s="216"/>
      <c r="H30" s="218"/>
      <c r="I30" s="169"/>
      <c r="J30" s="169"/>
    </row>
    <row r="31" spans="1:10" s="168" customFormat="1" ht="18" customHeight="1">
      <c r="A31" s="215" t="s">
        <v>157</v>
      </c>
      <c r="B31" s="216"/>
      <c r="C31" s="217"/>
      <c r="D31" s="216"/>
      <c r="E31" s="217"/>
      <c r="F31" s="216"/>
      <c r="G31" s="216"/>
      <c r="H31" s="218"/>
      <c r="I31" s="169"/>
      <c r="J31" s="169"/>
    </row>
    <row r="32" spans="1:10" s="147" customFormat="1" ht="18" customHeight="1">
      <c r="A32" s="143" t="s">
        <v>46</v>
      </c>
      <c r="B32" s="144"/>
      <c r="C32" s="145"/>
      <c r="D32" s="144"/>
      <c r="E32" s="145"/>
      <c r="F32" s="144"/>
      <c r="G32" s="144"/>
      <c r="H32" s="146"/>
      <c r="I32" s="148"/>
      <c r="J32" s="148"/>
    </row>
    <row r="33" spans="1:10" s="7" customFormat="1" ht="18" customHeight="1">
      <c r="A33" s="5"/>
      <c r="B33" s="5"/>
      <c r="C33" s="14"/>
      <c r="D33" s="5"/>
      <c r="E33" s="14"/>
      <c r="F33" s="5"/>
      <c r="G33" s="5"/>
      <c r="H33" s="13"/>
      <c r="I33" s="51"/>
      <c r="J33" s="51"/>
    </row>
    <row r="34" spans="1:10" s="7" customFormat="1" ht="18" customHeight="1">
      <c r="A34" s="52" t="s">
        <v>22</v>
      </c>
      <c r="B34" s="94"/>
      <c r="C34" s="94"/>
      <c r="D34" s="1"/>
      <c r="E34" s="1"/>
      <c r="F34" s="4"/>
      <c r="G34" s="5"/>
      <c r="H34" s="13"/>
      <c r="I34" s="51"/>
      <c r="J34" s="51"/>
    </row>
    <row r="35" spans="1:10" s="7" customFormat="1" ht="18" customHeight="1">
      <c r="A35" s="52"/>
      <c r="B35" s="94"/>
      <c r="C35" s="94"/>
      <c r="D35" s="1"/>
      <c r="E35" s="1"/>
      <c r="F35" s="4"/>
      <c r="G35" s="5"/>
      <c r="H35" s="13"/>
      <c r="I35" s="51"/>
      <c r="J35" s="51"/>
    </row>
    <row r="36" spans="1:10" s="7" customFormat="1" ht="18" customHeight="1">
      <c r="A36" s="95" t="s">
        <v>23</v>
      </c>
      <c r="B36" s="95"/>
      <c r="C36" s="53"/>
      <c r="D36" s="96"/>
      <c r="E36" s="96"/>
      <c r="F36" s="4"/>
      <c r="G36" s="5"/>
      <c r="H36" s="136">
        <f>H39+H49</f>
        <v>535505144.59000003</v>
      </c>
      <c r="I36" s="51"/>
      <c r="J36" s="51"/>
    </row>
    <row r="37" spans="1:10" s="7" customFormat="1" ht="18" customHeight="1">
      <c r="A37" s="95" t="s">
        <v>24</v>
      </c>
      <c r="B37" s="95"/>
      <c r="C37" s="53"/>
      <c r="D37" s="96"/>
      <c r="E37" s="96"/>
      <c r="F37" s="4"/>
      <c r="G37" s="5"/>
      <c r="H37" s="136">
        <f>H40+H50</f>
        <v>540987330.98</v>
      </c>
      <c r="I37" s="51"/>
      <c r="J37" s="51"/>
    </row>
    <row r="38" spans="1:10" s="7" customFormat="1" ht="18" customHeight="1">
      <c r="A38" s="131" t="s">
        <v>5</v>
      </c>
      <c r="B38" s="131" t="s">
        <v>25</v>
      </c>
      <c r="C38" s="98"/>
      <c r="D38" s="112"/>
      <c r="E38" s="112"/>
      <c r="F38" s="5"/>
      <c r="G38" s="5"/>
      <c r="H38" s="136"/>
      <c r="I38" s="51"/>
      <c r="J38" s="51"/>
    </row>
    <row r="39" spans="1:10" s="7" customFormat="1" ht="18" customHeight="1">
      <c r="A39" s="129" t="s">
        <v>84</v>
      </c>
      <c r="B39" s="129"/>
      <c r="C39" s="53"/>
      <c r="D39" s="54"/>
      <c r="E39" s="112"/>
      <c r="F39" s="5"/>
      <c r="G39" s="5"/>
      <c r="H39" s="136">
        <v>385580724.42</v>
      </c>
      <c r="I39" s="51"/>
      <c r="J39" s="51"/>
    </row>
    <row r="40" spans="1:10" s="7" customFormat="1" ht="18" customHeight="1">
      <c r="A40" s="129"/>
      <c r="B40" s="130" t="s">
        <v>30</v>
      </c>
      <c r="C40" s="53"/>
      <c r="D40" s="54"/>
      <c r="E40" s="112"/>
      <c r="F40" s="5"/>
      <c r="G40" s="5"/>
      <c r="H40" s="136">
        <f>H39-D79+F79</f>
        <v>390862990.07</v>
      </c>
      <c r="I40" s="51"/>
      <c r="J40" s="51"/>
    </row>
    <row r="41" spans="1:10" s="7" customFormat="1" ht="18" customHeight="1">
      <c r="A41" s="97"/>
      <c r="B41" s="94" t="s">
        <v>25</v>
      </c>
      <c r="C41" s="98"/>
      <c r="D41" s="96"/>
      <c r="E41" s="96"/>
      <c r="F41" s="4"/>
      <c r="G41" s="5"/>
      <c r="H41" s="136"/>
      <c r="I41" s="51"/>
      <c r="J41" s="51"/>
    </row>
    <row r="42" spans="1:10" s="7" customFormat="1" ht="18" customHeight="1">
      <c r="A42" s="100" t="s">
        <v>80</v>
      </c>
      <c r="B42" s="95"/>
      <c r="C42" s="53"/>
      <c r="D42" s="96"/>
      <c r="E42" s="96"/>
      <c r="F42" s="4"/>
      <c r="G42" s="5"/>
      <c r="H42" s="136">
        <v>365259593.54</v>
      </c>
      <c r="I42" s="51"/>
      <c r="J42" s="51"/>
    </row>
    <row r="43" spans="1:10" s="7" customFormat="1" ht="18" customHeight="1">
      <c r="A43" s="100" t="s">
        <v>81</v>
      </c>
      <c r="B43" s="95"/>
      <c r="C43" s="53"/>
      <c r="D43" s="96"/>
      <c r="E43" s="96"/>
      <c r="F43" s="4"/>
      <c r="G43" s="5"/>
      <c r="H43" s="136">
        <f>H42-D79+F79</f>
        <v>370541859.19</v>
      </c>
      <c r="I43" s="51"/>
      <c r="J43" s="51"/>
    </row>
    <row r="44" spans="1:10" s="7" customFormat="1" ht="18" customHeight="1">
      <c r="A44" s="101"/>
      <c r="B44" s="76" t="s">
        <v>4</v>
      </c>
      <c r="C44" s="8"/>
      <c r="D44" s="8"/>
      <c r="E44" s="4"/>
      <c r="F44" s="4"/>
      <c r="G44" s="5"/>
      <c r="H44" s="13"/>
      <c r="I44" s="51"/>
      <c r="J44" s="51"/>
    </row>
    <row r="45" spans="1:10" s="7" customFormat="1" ht="18" customHeight="1">
      <c r="A45" s="102"/>
      <c r="B45" s="103" t="s">
        <v>41</v>
      </c>
      <c r="C45" s="103"/>
      <c r="D45" s="104"/>
      <c r="E45" s="4"/>
      <c r="F45" s="4"/>
      <c r="G45" s="5"/>
      <c r="H45" s="13"/>
      <c r="I45" s="51"/>
      <c r="J45" s="51"/>
    </row>
    <row r="46" spans="1:10" s="7" customFormat="1" ht="18" customHeight="1">
      <c r="A46" s="102"/>
      <c r="B46" s="103" t="s">
        <v>76</v>
      </c>
      <c r="C46" s="103"/>
      <c r="D46" s="104"/>
      <c r="E46" s="4"/>
      <c r="F46" s="4"/>
      <c r="G46" s="5"/>
      <c r="H46" s="13">
        <v>72805827.07</v>
      </c>
      <c r="I46" s="51"/>
      <c r="J46" s="51"/>
    </row>
    <row r="47" spans="1:10" s="7" customFormat="1" ht="18" customHeight="1">
      <c r="A47" s="102" t="s">
        <v>42</v>
      </c>
      <c r="B47" s="103" t="s">
        <v>43</v>
      </c>
      <c r="C47" s="103"/>
      <c r="D47" s="104"/>
      <c r="E47" s="4"/>
      <c r="F47" s="4"/>
      <c r="G47" s="5"/>
      <c r="H47" s="13">
        <f>H46-E79+G79</f>
        <v>77426432.72</v>
      </c>
      <c r="I47" s="51"/>
      <c r="J47" s="51"/>
    </row>
    <row r="48" spans="1:10" s="7" customFormat="1" ht="18" customHeight="1">
      <c r="A48" s="97"/>
      <c r="B48" s="97"/>
      <c r="C48" s="98"/>
      <c r="D48" s="96"/>
      <c r="E48" s="96"/>
      <c r="F48" s="4"/>
      <c r="G48" s="5"/>
      <c r="H48" s="136"/>
      <c r="I48" s="51"/>
      <c r="J48" s="51"/>
    </row>
    <row r="49" spans="1:10" s="7" customFormat="1" ht="18" customHeight="1">
      <c r="A49" s="95" t="s">
        <v>85</v>
      </c>
      <c r="B49" s="95"/>
      <c r="C49" s="53"/>
      <c r="D49" s="99"/>
      <c r="E49" s="96"/>
      <c r="F49" s="4"/>
      <c r="G49" s="5"/>
      <c r="H49" s="136">
        <f>H52+H59</f>
        <v>149924420.17</v>
      </c>
      <c r="I49" s="51"/>
      <c r="J49" s="51"/>
    </row>
    <row r="50" spans="1:10" s="7" customFormat="1" ht="18" customHeight="1">
      <c r="A50" s="95" t="s">
        <v>24</v>
      </c>
      <c r="B50" s="95"/>
      <c r="C50" s="53"/>
      <c r="D50" s="99"/>
      <c r="E50" s="96"/>
      <c r="F50" s="4"/>
      <c r="G50" s="5"/>
      <c r="H50" s="136">
        <f>H53+H60</f>
        <v>150124340.91</v>
      </c>
      <c r="I50" s="51"/>
      <c r="J50" s="51"/>
    </row>
    <row r="51" spans="1:10" s="7" customFormat="1" ht="18" customHeight="1">
      <c r="A51" s="97"/>
      <c r="B51" s="94" t="s">
        <v>25</v>
      </c>
      <c r="C51" s="98"/>
      <c r="D51" s="96"/>
      <c r="E51" s="96"/>
      <c r="F51" s="4"/>
      <c r="G51" s="5"/>
      <c r="H51" s="136"/>
      <c r="I51" s="51"/>
      <c r="J51" s="51"/>
    </row>
    <row r="52" spans="1:10" s="7" customFormat="1" ht="18" customHeight="1">
      <c r="A52" s="100" t="s">
        <v>83</v>
      </c>
      <c r="B52" s="95"/>
      <c r="C52" s="53"/>
      <c r="D52" s="96"/>
      <c r="E52" s="96"/>
      <c r="F52" s="4"/>
      <c r="G52" s="5"/>
      <c r="H52" s="136">
        <v>133666886.64</v>
      </c>
      <c r="I52" s="51"/>
      <c r="J52" s="51"/>
    </row>
    <row r="53" spans="1:10" s="7" customFormat="1" ht="18" customHeight="1">
      <c r="A53" s="100" t="s">
        <v>82</v>
      </c>
      <c r="B53" s="95"/>
      <c r="C53" s="53"/>
      <c r="D53" s="96"/>
      <c r="E53" s="96"/>
      <c r="F53" s="4"/>
      <c r="G53" s="5"/>
      <c r="H53" s="136">
        <f>H52-D98+F98-F92</f>
        <v>133796807.38</v>
      </c>
      <c r="I53" s="51"/>
      <c r="J53" s="51"/>
    </row>
    <row r="54" spans="1:10" s="7" customFormat="1" ht="18" customHeight="1">
      <c r="A54" s="101"/>
      <c r="B54" s="76" t="s">
        <v>4</v>
      </c>
      <c r="C54" s="8"/>
      <c r="D54" s="8"/>
      <c r="E54" s="4"/>
      <c r="F54" s="4"/>
      <c r="G54" s="5"/>
      <c r="H54" s="13"/>
      <c r="I54" s="51"/>
      <c r="J54" s="51"/>
    </row>
    <row r="55" spans="1:10" s="7" customFormat="1" ht="18" customHeight="1">
      <c r="A55" s="102"/>
      <c r="B55" s="103" t="s">
        <v>41</v>
      </c>
      <c r="C55" s="103"/>
      <c r="D55" s="104"/>
      <c r="E55" s="4"/>
      <c r="F55" s="4"/>
      <c r="G55" s="5"/>
      <c r="H55" s="13"/>
      <c r="I55" s="51"/>
      <c r="J55" s="51"/>
    </row>
    <row r="56" spans="1:10" s="7" customFormat="1" ht="18" customHeight="1">
      <c r="A56" s="102"/>
      <c r="B56" s="103" t="s">
        <v>69</v>
      </c>
      <c r="C56" s="103"/>
      <c r="D56" s="104"/>
      <c r="E56" s="4"/>
      <c r="F56" s="4"/>
      <c r="G56" s="5"/>
      <c r="H56" s="13">
        <v>15731309.61</v>
      </c>
      <c r="I56" s="51"/>
      <c r="J56" s="51"/>
    </row>
    <row r="57" spans="1:10" s="7" customFormat="1" ht="18" customHeight="1">
      <c r="A57" s="102" t="s">
        <v>42</v>
      </c>
      <c r="B57" s="103" t="s">
        <v>43</v>
      </c>
      <c r="C57" s="103"/>
      <c r="D57" s="104"/>
      <c r="E57" s="4"/>
      <c r="F57" s="4"/>
      <c r="G57" s="5"/>
      <c r="H57" s="13">
        <f>H56-E98+G98</f>
        <v>15762134.35</v>
      </c>
      <c r="I57" s="51"/>
      <c r="J57" s="51"/>
    </row>
    <row r="58" spans="1:10" s="7" customFormat="1" ht="18" customHeight="1">
      <c r="A58" s="102"/>
      <c r="B58" s="103"/>
      <c r="C58" s="103"/>
      <c r="D58" s="104"/>
      <c r="E58" s="4"/>
      <c r="F58" s="4"/>
      <c r="G58" s="5"/>
      <c r="H58" s="13"/>
      <c r="I58" s="51"/>
      <c r="J58" s="51"/>
    </row>
    <row r="59" spans="1:21" s="1" customFormat="1" ht="15">
      <c r="A59" s="100" t="s">
        <v>135</v>
      </c>
      <c r="B59" s="95"/>
      <c r="C59" s="53"/>
      <c r="D59" s="96"/>
      <c r="E59" s="96"/>
      <c r="F59" s="83"/>
      <c r="H59" s="38">
        <v>16257533.53</v>
      </c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</row>
    <row r="60" spans="1:21" s="1" customFormat="1" ht="15">
      <c r="A60" s="100" t="s">
        <v>24</v>
      </c>
      <c r="B60" s="95"/>
      <c r="C60" s="53"/>
      <c r="D60" s="96"/>
      <c r="E60" s="96"/>
      <c r="F60" s="83"/>
      <c r="H60" s="38">
        <f>H59+F92</f>
        <v>16327533.53</v>
      </c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</row>
    <row r="61" spans="1:10" s="7" customFormat="1" ht="18" customHeight="1">
      <c r="A61" s="102"/>
      <c r="B61" s="103"/>
      <c r="C61" s="103"/>
      <c r="D61" s="104"/>
      <c r="E61" s="4"/>
      <c r="F61" s="4"/>
      <c r="G61" s="5"/>
      <c r="H61" s="13"/>
      <c r="I61" s="51"/>
      <c r="J61" s="51"/>
    </row>
    <row r="62" spans="1:10" s="7" customFormat="1" ht="18" customHeight="1">
      <c r="A62" s="102"/>
      <c r="B62" s="103"/>
      <c r="C62" s="103"/>
      <c r="D62" s="104"/>
      <c r="E62" s="4"/>
      <c r="F62" s="4"/>
      <c r="G62" s="5"/>
      <c r="H62" s="13"/>
      <c r="I62" s="51"/>
      <c r="J62" s="51"/>
    </row>
    <row r="63" spans="1:10" s="7" customFormat="1" ht="18" customHeight="1">
      <c r="A63" s="105" t="s">
        <v>70</v>
      </c>
      <c r="B63" s="106"/>
      <c r="C63" s="107"/>
      <c r="D63" s="54"/>
      <c r="E63" s="54"/>
      <c r="F63" s="108"/>
      <c r="G63" s="108"/>
      <c r="H63" s="13"/>
      <c r="I63" s="51"/>
      <c r="J63" s="51"/>
    </row>
    <row r="64" spans="1:10" s="7" customFormat="1" ht="18" customHeight="1">
      <c r="A64" s="105"/>
      <c r="B64" s="106"/>
      <c r="C64" s="107"/>
      <c r="D64" s="54"/>
      <c r="E64" s="54"/>
      <c r="F64" s="108"/>
      <c r="G64" s="108"/>
      <c r="H64" s="13"/>
      <c r="I64" s="51"/>
      <c r="J64" s="51"/>
    </row>
    <row r="65" spans="1:10" s="7" customFormat="1" ht="18" customHeight="1">
      <c r="A65" s="109" t="s">
        <v>26</v>
      </c>
      <c r="B65" s="110"/>
      <c r="C65" s="111"/>
      <c r="D65" s="112"/>
      <c r="E65" s="112"/>
      <c r="F65" s="113"/>
      <c r="G65" s="113"/>
      <c r="H65" s="13"/>
      <c r="I65" s="51"/>
      <c r="J65" s="51"/>
    </row>
    <row r="66" spans="1:10" s="7" customFormat="1" ht="18" customHeight="1">
      <c r="A66" s="109"/>
      <c r="B66" s="110"/>
      <c r="C66" s="111"/>
      <c r="D66" s="112"/>
      <c r="E66" s="112"/>
      <c r="F66" s="113"/>
      <c r="G66" s="113"/>
      <c r="H66" s="13"/>
      <c r="I66" s="51"/>
      <c r="J66" s="51"/>
    </row>
    <row r="67" spans="1:10" s="7" customFormat="1" ht="18" customHeight="1">
      <c r="A67" s="114"/>
      <c r="B67" s="114"/>
      <c r="C67" s="115"/>
      <c r="D67" s="116" t="s">
        <v>27</v>
      </c>
      <c r="E67" s="117"/>
      <c r="F67" s="116" t="s">
        <v>28</v>
      </c>
      <c r="G67" s="117"/>
      <c r="H67" s="13"/>
      <c r="I67" s="51"/>
      <c r="J67" s="51"/>
    </row>
    <row r="68" spans="1:10" s="7" customFormat="1" ht="18" customHeight="1">
      <c r="A68" s="118"/>
      <c r="B68" s="118"/>
      <c r="C68" s="119"/>
      <c r="D68" s="120" t="s">
        <v>5</v>
      </c>
      <c r="E68" s="117" t="s">
        <v>4</v>
      </c>
      <c r="F68" s="120" t="s">
        <v>5</v>
      </c>
      <c r="G68" s="117" t="s">
        <v>4</v>
      </c>
      <c r="H68" s="13"/>
      <c r="I68" s="51"/>
      <c r="J68" s="51"/>
    </row>
    <row r="69" spans="1:10" s="7" customFormat="1" ht="28.5" customHeight="1">
      <c r="A69" s="55" t="s">
        <v>7</v>
      </c>
      <c r="B69" s="55" t="s">
        <v>11</v>
      </c>
      <c r="C69" s="55" t="s">
        <v>8</v>
      </c>
      <c r="D69" s="23" t="s">
        <v>9</v>
      </c>
      <c r="E69" s="25" t="s">
        <v>10</v>
      </c>
      <c r="F69" s="23" t="s">
        <v>9</v>
      </c>
      <c r="G69" s="25" t="s">
        <v>10</v>
      </c>
      <c r="H69" s="13"/>
      <c r="I69" s="51"/>
      <c r="J69" s="51"/>
    </row>
    <row r="70" spans="1:10" s="7" customFormat="1" ht="21.75" customHeight="1">
      <c r="A70" s="140" t="s">
        <v>15</v>
      </c>
      <c r="B70" s="56" t="s">
        <v>108</v>
      </c>
      <c r="C70" s="56" t="s">
        <v>72</v>
      </c>
      <c r="D70" s="42"/>
      <c r="E70" s="42"/>
      <c r="F70" s="42">
        <f>3839.65</f>
        <v>3839.65</v>
      </c>
      <c r="G70" s="42">
        <f>3839.65</f>
        <v>3839.65</v>
      </c>
      <c r="H70" s="13"/>
      <c r="I70" s="51"/>
      <c r="J70" s="51"/>
    </row>
    <row r="71" spans="1:10" s="7" customFormat="1" ht="21.75" customHeight="1">
      <c r="A71" s="178" t="s">
        <v>39</v>
      </c>
      <c r="B71" s="56"/>
      <c r="C71" s="121"/>
      <c r="D71" s="159">
        <f>SUM(D72:D74)</f>
        <v>0</v>
      </c>
      <c r="E71" s="159">
        <f>SUM(E72:E74)</f>
        <v>0</v>
      </c>
      <c r="F71" s="159">
        <f>SUM(F72:F74)</f>
        <v>565000</v>
      </c>
      <c r="G71" s="159">
        <f>SUM(G72:G74)</f>
        <v>0</v>
      </c>
      <c r="H71" s="13"/>
      <c r="I71" s="51"/>
      <c r="J71" s="51"/>
    </row>
    <row r="72" spans="1:10" s="7" customFormat="1" ht="21.75" customHeight="1">
      <c r="A72" s="140"/>
      <c r="B72" s="81" t="s">
        <v>149</v>
      </c>
      <c r="C72" s="212" t="s">
        <v>95</v>
      </c>
      <c r="D72" s="213"/>
      <c r="E72" s="213"/>
      <c r="F72" s="213">
        <v>12000</v>
      </c>
      <c r="G72" s="213"/>
      <c r="H72" s="13"/>
      <c r="I72" s="51"/>
      <c r="J72" s="51"/>
    </row>
    <row r="73" spans="1:10" s="7" customFormat="1" ht="21.75" customHeight="1">
      <c r="A73" s="154"/>
      <c r="B73" s="81" t="s">
        <v>150</v>
      </c>
      <c r="C73" s="212" t="s">
        <v>95</v>
      </c>
      <c r="D73" s="213"/>
      <c r="E73" s="213"/>
      <c r="F73" s="213">
        <f>446000</f>
        <v>446000</v>
      </c>
      <c r="G73" s="213"/>
      <c r="H73" s="13"/>
      <c r="I73" s="51"/>
      <c r="J73" s="51"/>
    </row>
    <row r="74" spans="1:10" s="7" customFormat="1" ht="21.75" customHeight="1">
      <c r="A74" s="160"/>
      <c r="B74" s="81" t="s">
        <v>86</v>
      </c>
      <c r="C74" s="212" t="s">
        <v>95</v>
      </c>
      <c r="D74" s="213"/>
      <c r="E74" s="213"/>
      <c r="F74" s="213">
        <v>107000</v>
      </c>
      <c r="G74" s="213"/>
      <c r="H74" s="13"/>
      <c r="I74" s="51"/>
      <c r="J74" s="51"/>
    </row>
    <row r="75" spans="1:10" s="7" customFormat="1" ht="21.75" customHeight="1">
      <c r="A75" s="140" t="s">
        <v>57</v>
      </c>
      <c r="B75" s="56" t="s">
        <v>143</v>
      </c>
      <c r="C75" s="56" t="s">
        <v>144</v>
      </c>
      <c r="D75" s="42"/>
      <c r="E75" s="42"/>
      <c r="F75" s="42">
        <v>4310</v>
      </c>
      <c r="G75" s="42"/>
      <c r="H75" s="13"/>
      <c r="I75" s="51"/>
      <c r="J75" s="51"/>
    </row>
    <row r="76" spans="1:10" s="7" customFormat="1" ht="21.75" customHeight="1">
      <c r="A76" s="178" t="s">
        <v>71</v>
      </c>
      <c r="B76" s="56"/>
      <c r="C76" s="121"/>
      <c r="D76" s="159">
        <f>SUM(D77:D78)</f>
        <v>0</v>
      </c>
      <c r="E76" s="159">
        <f>SUM(E77:E78)</f>
        <v>0</v>
      </c>
      <c r="F76" s="159">
        <f>SUM(F77:F78)</f>
        <v>4709116</v>
      </c>
      <c r="G76" s="159">
        <f>SUM(G77:G78)</f>
        <v>4616766</v>
      </c>
      <c r="H76" s="13"/>
      <c r="I76" s="51"/>
      <c r="J76" s="51"/>
    </row>
    <row r="77" spans="1:10" s="7" customFormat="1" ht="21.75" customHeight="1">
      <c r="A77" s="140"/>
      <c r="B77" s="81" t="s">
        <v>151</v>
      </c>
      <c r="C77" s="212" t="s">
        <v>72</v>
      </c>
      <c r="D77" s="213"/>
      <c r="E77" s="213"/>
      <c r="F77" s="213">
        <v>4616766</v>
      </c>
      <c r="G77" s="213">
        <v>4616766</v>
      </c>
      <c r="H77" s="13"/>
      <c r="I77" s="51"/>
      <c r="J77" s="51"/>
    </row>
    <row r="78" spans="1:10" s="7" customFormat="1" ht="21.75" customHeight="1">
      <c r="A78" s="160"/>
      <c r="B78" s="81" t="s">
        <v>88</v>
      </c>
      <c r="C78" s="212" t="s">
        <v>95</v>
      </c>
      <c r="D78" s="213"/>
      <c r="E78" s="213"/>
      <c r="F78" s="213">
        <v>92350</v>
      </c>
      <c r="G78" s="213"/>
      <c r="H78" s="13"/>
      <c r="I78" s="51"/>
      <c r="J78" s="51"/>
    </row>
    <row r="79" spans="1:10" s="7" customFormat="1" ht="22.5" customHeight="1">
      <c r="A79" s="79" t="s">
        <v>14</v>
      </c>
      <c r="B79" s="57"/>
      <c r="C79" s="121"/>
      <c r="D79" s="122">
        <f>D70+D71+D75+D76</f>
        <v>0</v>
      </c>
      <c r="E79" s="122">
        <f>E70+E71+E75+E76</f>
        <v>0</v>
      </c>
      <c r="F79" s="122">
        <f>F70+F71+F75+F76</f>
        <v>5282265.65</v>
      </c>
      <c r="G79" s="122">
        <f>G70+G71+G75+G76</f>
        <v>4620605.65</v>
      </c>
      <c r="H79" s="13"/>
      <c r="I79" s="51"/>
      <c r="J79" s="51"/>
    </row>
    <row r="80" spans="1:10" s="7" customFormat="1" ht="18" customHeight="1">
      <c r="A80" s="102"/>
      <c r="B80" s="103"/>
      <c r="C80" s="103"/>
      <c r="D80" s="104"/>
      <c r="E80" s="4"/>
      <c r="F80" s="4"/>
      <c r="G80" s="5"/>
      <c r="H80" s="13"/>
      <c r="I80" s="51"/>
      <c r="J80" s="51"/>
    </row>
    <row r="81" spans="1:10" s="7" customFormat="1" ht="18" customHeight="1">
      <c r="A81" s="105" t="s">
        <v>59</v>
      </c>
      <c r="B81" s="106"/>
      <c r="C81" s="107"/>
      <c r="D81" s="54"/>
      <c r="E81" s="54"/>
      <c r="F81" s="108"/>
      <c r="G81" s="108"/>
      <c r="H81" s="13"/>
      <c r="I81" s="51"/>
      <c r="J81" s="51"/>
    </row>
    <row r="82" spans="1:10" s="7" customFormat="1" ht="18" customHeight="1">
      <c r="A82" s="105"/>
      <c r="B82" s="106"/>
      <c r="C82" s="107"/>
      <c r="D82" s="54"/>
      <c r="E82" s="54"/>
      <c r="F82" s="108"/>
      <c r="G82" s="108"/>
      <c r="H82" s="13"/>
      <c r="I82" s="51"/>
      <c r="J82" s="51"/>
    </row>
    <row r="83" spans="1:10" s="7" customFormat="1" ht="18" customHeight="1">
      <c r="A83" s="109" t="s">
        <v>77</v>
      </c>
      <c r="B83" s="110"/>
      <c r="C83" s="111"/>
      <c r="D83" s="112"/>
      <c r="E83" s="112"/>
      <c r="F83" s="113"/>
      <c r="G83" s="113"/>
      <c r="H83" s="13"/>
      <c r="I83" s="51"/>
      <c r="J83" s="51"/>
    </row>
    <row r="84" spans="1:10" s="7" customFormat="1" ht="18" customHeight="1">
      <c r="A84" s="109"/>
      <c r="B84" s="110"/>
      <c r="C84" s="111"/>
      <c r="D84" s="112"/>
      <c r="E84" s="112"/>
      <c r="F84" s="113"/>
      <c r="G84" s="113"/>
      <c r="H84" s="13"/>
      <c r="I84" s="51"/>
      <c r="J84" s="51"/>
    </row>
    <row r="85" spans="1:10" s="7" customFormat="1" ht="18" customHeight="1">
      <c r="A85" s="114"/>
      <c r="B85" s="114"/>
      <c r="C85" s="115"/>
      <c r="D85" s="116" t="s">
        <v>27</v>
      </c>
      <c r="E85" s="117"/>
      <c r="F85" s="116" t="s">
        <v>28</v>
      </c>
      <c r="G85" s="117"/>
      <c r="H85" s="13"/>
      <c r="I85" s="51"/>
      <c r="J85" s="51"/>
    </row>
    <row r="86" spans="1:10" s="7" customFormat="1" ht="18" customHeight="1">
      <c r="A86" s="118"/>
      <c r="B86" s="118"/>
      <c r="C86" s="119"/>
      <c r="D86" s="120" t="s">
        <v>5</v>
      </c>
      <c r="E86" s="117" t="s">
        <v>4</v>
      </c>
      <c r="F86" s="120" t="s">
        <v>5</v>
      </c>
      <c r="G86" s="117" t="s">
        <v>4</v>
      </c>
      <c r="H86" s="13"/>
      <c r="I86" s="51"/>
      <c r="J86" s="51"/>
    </row>
    <row r="87" spans="1:10" s="7" customFormat="1" ht="21" customHeight="1">
      <c r="A87" s="55" t="s">
        <v>7</v>
      </c>
      <c r="B87" s="55" t="s">
        <v>11</v>
      </c>
      <c r="C87" s="55" t="s">
        <v>8</v>
      </c>
      <c r="D87" s="23" t="s">
        <v>9</v>
      </c>
      <c r="E87" s="25" t="s">
        <v>10</v>
      </c>
      <c r="F87" s="23" t="s">
        <v>9</v>
      </c>
      <c r="G87" s="25" t="s">
        <v>10</v>
      </c>
      <c r="H87" s="13"/>
      <c r="I87" s="51"/>
      <c r="J87" s="51"/>
    </row>
    <row r="88" spans="1:10" s="7" customFormat="1" ht="21" customHeight="1">
      <c r="A88" s="56" t="s">
        <v>117</v>
      </c>
      <c r="B88" s="56" t="s">
        <v>118</v>
      </c>
      <c r="C88" s="121" t="s">
        <v>63</v>
      </c>
      <c r="D88" s="34"/>
      <c r="E88" s="34"/>
      <c r="F88" s="34">
        <v>11100</v>
      </c>
      <c r="G88" s="34">
        <v>11100</v>
      </c>
      <c r="H88" s="13"/>
      <c r="I88" s="51"/>
      <c r="J88" s="51"/>
    </row>
    <row r="89" spans="1:10" s="7" customFormat="1" ht="21" customHeight="1">
      <c r="A89" s="56" t="s">
        <v>49</v>
      </c>
      <c r="B89" s="56" t="s">
        <v>152</v>
      </c>
      <c r="C89" s="121" t="s">
        <v>63</v>
      </c>
      <c r="D89" s="34">
        <v>5959.73</v>
      </c>
      <c r="E89" s="34">
        <v>5959.73</v>
      </c>
      <c r="F89" s="34"/>
      <c r="G89" s="34"/>
      <c r="H89" s="13"/>
      <c r="I89" s="51"/>
      <c r="J89" s="51"/>
    </row>
    <row r="90" spans="1:10" s="7" customFormat="1" ht="21" customHeight="1">
      <c r="A90" s="56" t="s">
        <v>15</v>
      </c>
      <c r="B90" s="56" t="s">
        <v>108</v>
      </c>
      <c r="C90" s="121" t="s">
        <v>63</v>
      </c>
      <c r="D90" s="34"/>
      <c r="E90" s="34"/>
      <c r="F90" s="34">
        <f>5933.47</f>
        <v>5933.47</v>
      </c>
      <c r="G90" s="34">
        <f>5933.47</f>
        <v>5933.47</v>
      </c>
      <c r="H90" s="13"/>
      <c r="I90" s="51"/>
      <c r="J90" s="51"/>
    </row>
    <row r="91" spans="1:10" s="7" customFormat="1" ht="21" customHeight="1">
      <c r="A91" s="56" t="s">
        <v>39</v>
      </c>
      <c r="B91" s="56"/>
      <c r="C91" s="202"/>
      <c r="D91" s="34">
        <f>SUM(D92:D93)</f>
        <v>0</v>
      </c>
      <c r="E91" s="34">
        <f>SUM(E92:E93)</f>
        <v>0</v>
      </c>
      <c r="F91" s="34">
        <f>SUM(F92:F93)</f>
        <v>81500</v>
      </c>
      <c r="G91" s="34">
        <f>SUM(G92:G93)</f>
        <v>0</v>
      </c>
      <c r="H91" s="13"/>
      <c r="I91" s="51"/>
      <c r="J91" s="51"/>
    </row>
    <row r="92" spans="1:10" s="7" customFormat="1" ht="21" customHeight="1">
      <c r="A92" s="140"/>
      <c r="B92" s="81" t="s">
        <v>94</v>
      </c>
      <c r="C92" s="214" t="s">
        <v>116</v>
      </c>
      <c r="D92" s="142"/>
      <c r="E92" s="142"/>
      <c r="F92" s="142">
        <f>70000</f>
        <v>70000</v>
      </c>
      <c r="G92" s="213"/>
      <c r="H92" s="13"/>
      <c r="I92" s="51"/>
      <c r="J92" s="51"/>
    </row>
    <row r="93" spans="1:10" s="7" customFormat="1" ht="21" customHeight="1">
      <c r="A93" s="160"/>
      <c r="B93" s="92" t="s">
        <v>155</v>
      </c>
      <c r="C93" s="214" t="s">
        <v>146</v>
      </c>
      <c r="D93" s="213"/>
      <c r="E93" s="213"/>
      <c r="F93" s="213">
        <v>11500</v>
      </c>
      <c r="G93" s="213"/>
      <c r="H93" s="13"/>
      <c r="I93" s="51"/>
      <c r="J93" s="51"/>
    </row>
    <row r="94" spans="1:10" s="7" customFormat="1" ht="21" customHeight="1">
      <c r="A94" s="160" t="s">
        <v>97</v>
      </c>
      <c r="B94" s="160"/>
      <c r="C94" s="121"/>
      <c r="D94" s="159">
        <f>D95+D96</f>
        <v>0</v>
      </c>
      <c r="E94" s="159">
        <f>E95+E96</f>
        <v>0</v>
      </c>
      <c r="F94" s="159">
        <f>F95+F96</f>
        <v>19751</v>
      </c>
      <c r="G94" s="159">
        <f>G95+G96</f>
        <v>19751</v>
      </c>
      <c r="H94" s="13"/>
      <c r="I94" s="51"/>
      <c r="J94" s="51"/>
    </row>
    <row r="95" spans="1:10" s="7" customFormat="1" ht="21" customHeight="1">
      <c r="A95" s="140"/>
      <c r="B95" s="92" t="s">
        <v>111</v>
      </c>
      <c r="C95" s="212" t="s">
        <v>63</v>
      </c>
      <c r="D95" s="213"/>
      <c r="E95" s="213"/>
      <c r="F95" s="213">
        <v>15701</v>
      </c>
      <c r="G95" s="213">
        <v>15701</v>
      </c>
      <c r="H95" s="13"/>
      <c r="I95" s="51"/>
      <c r="J95" s="51"/>
    </row>
    <row r="96" spans="1:10" s="7" customFormat="1" ht="21" customHeight="1">
      <c r="A96" s="160"/>
      <c r="B96" s="92" t="s">
        <v>98</v>
      </c>
      <c r="C96" s="212" t="s">
        <v>63</v>
      </c>
      <c r="D96" s="213"/>
      <c r="E96" s="213"/>
      <c r="F96" s="213">
        <v>4050</v>
      </c>
      <c r="G96" s="213">
        <v>4050</v>
      </c>
      <c r="H96" s="13"/>
      <c r="I96" s="51"/>
      <c r="J96" s="51"/>
    </row>
    <row r="97" spans="1:10" s="7" customFormat="1" ht="21" customHeight="1">
      <c r="A97" s="160" t="s">
        <v>71</v>
      </c>
      <c r="B97" s="160" t="s">
        <v>145</v>
      </c>
      <c r="C97" s="202" t="s">
        <v>146</v>
      </c>
      <c r="D97" s="159"/>
      <c r="E97" s="159"/>
      <c r="F97" s="159">
        <v>87596</v>
      </c>
      <c r="G97" s="159"/>
      <c r="H97" s="13"/>
      <c r="I97" s="51"/>
      <c r="J97" s="51"/>
    </row>
    <row r="98" spans="1:10" s="7" customFormat="1" ht="21" customHeight="1">
      <c r="A98" s="79" t="s">
        <v>14</v>
      </c>
      <c r="B98" s="57"/>
      <c r="C98" s="121"/>
      <c r="D98" s="122">
        <f>D88+D89+D90+D91+D94+D97</f>
        <v>5959.73</v>
      </c>
      <c r="E98" s="122">
        <f>E88+E89+E90+E91+E94+E97</f>
        <v>5959.73</v>
      </c>
      <c r="F98" s="122">
        <f>F88+F89+F90+F91+F94+F97</f>
        <v>205880.47</v>
      </c>
      <c r="G98" s="122">
        <f>G88+G89+G90+G91+G94+G97</f>
        <v>36784.47</v>
      </c>
      <c r="H98" s="13"/>
      <c r="I98" s="51"/>
      <c r="J98" s="51"/>
    </row>
    <row r="99" spans="1:10" s="7" customFormat="1" ht="21" customHeight="1">
      <c r="A99" s="63"/>
      <c r="B99" s="64"/>
      <c r="C99" s="64"/>
      <c r="D99" s="138"/>
      <c r="E99" s="138"/>
      <c r="F99" s="138"/>
      <c r="G99" s="138"/>
      <c r="H99" s="13"/>
      <c r="I99" s="51"/>
      <c r="J99" s="51"/>
    </row>
    <row r="100" spans="1:10" s="7" customFormat="1" ht="15">
      <c r="A100" s="63"/>
      <c r="B100" s="64"/>
      <c r="C100" s="64"/>
      <c r="D100" s="138"/>
      <c r="E100" s="138"/>
      <c r="F100" s="138"/>
      <c r="G100" s="138"/>
      <c r="H100" s="13"/>
      <c r="I100" s="51"/>
      <c r="J100" s="51"/>
    </row>
    <row r="101" spans="1:10" s="7" customFormat="1" ht="18" customHeight="1">
      <c r="A101" s="52" t="s">
        <v>162</v>
      </c>
      <c r="B101" s="123"/>
      <c r="C101" s="124"/>
      <c r="D101" s="125"/>
      <c r="E101" s="125"/>
      <c r="F101" s="5"/>
      <c r="G101" s="5"/>
      <c r="H101" s="13"/>
      <c r="I101" s="51"/>
      <c r="J101" s="51"/>
    </row>
    <row r="102" spans="1:10" s="7" customFormat="1" ht="18" customHeight="1">
      <c r="A102" s="52"/>
      <c r="B102" s="123"/>
      <c r="C102" s="124"/>
      <c r="D102" s="125"/>
      <c r="E102" s="125"/>
      <c r="F102" s="5"/>
      <c r="G102" s="5"/>
      <c r="H102" s="13"/>
      <c r="I102" s="51"/>
      <c r="J102" s="51"/>
    </row>
    <row r="103" spans="1:10" s="7" customFormat="1" ht="21" customHeight="1">
      <c r="A103" s="52"/>
      <c r="B103" s="126" t="s">
        <v>29</v>
      </c>
      <c r="C103" s="127"/>
      <c r="D103" s="58"/>
      <c r="E103" s="58"/>
      <c r="F103" s="5"/>
      <c r="G103" s="5"/>
      <c r="H103" s="136">
        <f>H106+H119</f>
        <v>580767628.59</v>
      </c>
      <c r="I103" s="51"/>
      <c r="J103" s="51"/>
    </row>
    <row r="104" spans="1:10" s="7" customFormat="1" ht="19.5" customHeight="1">
      <c r="A104" s="52"/>
      <c r="B104" s="126" t="s">
        <v>30</v>
      </c>
      <c r="C104" s="127"/>
      <c r="D104" s="58"/>
      <c r="E104" s="58"/>
      <c r="F104" s="5"/>
      <c r="G104" s="5"/>
      <c r="H104" s="136">
        <f>H103-D295+F295-D522+F522</f>
        <v>586249814.98</v>
      </c>
      <c r="I104" s="51"/>
      <c r="J104" s="51"/>
    </row>
    <row r="105" spans="1:10" s="7" customFormat="1" ht="18" customHeight="1">
      <c r="A105" s="52"/>
      <c r="B105" s="128" t="s">
        <v>25</v>
      </c>
      <c r="C105" s="124"/>
      <c r="D105" s="58"/>
      <c r="E105" s="58"/>
      <c r="F105" s="5"/>
      <c r="G105" s="5"/>
      <c r="H105" s="136"/>
      <c r="I105" s="51"/>
      <c r="J105" s="51"/>
    </row>
    <row r="106" spans="1:10" s="7" customFormat="1" ht="18" customHeight="1">
      <c r="A106" s="129" t="s">
        <v>68</v>
      </c>
      <c r="B106" s="129"/>
      <c r="C106" s="53"/>
      <c r="D106" s="54"/>
      <c r="E106" s="112"/>
      <c r="F106" s="5"/>
      <c r="G106" s="5"/>
      <c r="H106" s="136">
        <f>H109+H116</f>
        <v>372285012</v>
      </c>
      <c r="I106" s="51"/>
      <c r="J106" s="51"/>
    </row>
    <row r="107" spans="1:10" s="7" customFormat="1" ht="18" customHeight="1">
      <c r="A107" s="129"/>
      <c r="B107" s="130" t="s">
        <v>30</v>
      </c>
      <c r="C107" s="53"/>
      <c r="D107" s="54"/>
      <c r="E107" s="112"/>
      <c r="F107" s="5"/>
      <c r="G107" s="5"/>
      <c r="H107" s="136">
        <f>H110+H117</f>
        <v>377567277.65</v>
      </c>
      <c r="I107" s="51"/>
      <c r="J107" s="51"/>
    </row>
    <row r="108" spans="1:10" s="7" customFormat="1" ht="18" customHeight="1">
      <c r="A108" s="131" t="s">
        <v>5</v>
      </c>
      <c r="B108" s="131" t="s">
        <v>25</v>
      </c>
      <c r="C108" s="98"/>
      <c r="D108" s="112"/>
      <c r="E108" s="112"/>
      <c r="F108" s="5"/>
      <c r="G108" s="5"/>
      <c r="H108" s="136"/>
      <c r="I108" s="51"/>
      <c r="J108" s="51"/>
    </row>
    <row r="109" spans="1:10" s="7" customFormat="1" ht="18" customHeight="1">
      <c r="A109" s="59" t="s">
        <v>31</v>
      </c>
      <c r="B109" s="59"/>
      <c r="C109" s="132"/>
      <c r="D109" s="60"/>
      <c r="E109" s="112"/>
      <c r="F109" s="5"/>
      <c r="G109" s="5"/>
      <c r="H109" s="136">
        <v>356554446.83</v>
      </c>
      <c r="I109" s="51"/>
      <c r="J109" s="51"/>
    </row>
    <row r="110" spans="1:10" s="7" customFormat="1" ht="18" customHeight="1">
      <c r="A110" s="59"/>
      <c r="B110" s="61" t="s">
        <v>30</v>
      </c>
      <c r="C110" s="132"/>
      <c r="D110" s="60"/>
      <c r="E110" s="54"/>
      <c r="F110" s="5"/>
      <c r="G110" s="5"/>
      <c r="H110" s="136">
        <f>H109-D295+F295+D290</f>
        <v>361852712.47999996</v>
      </c>
      <c r="I110" s="51"/>
      <c r="J110" s="51"/>
    </row>
    <row r="111" spans="1:10" s="7" customFormat="1" ht="18" customHeight="1">
      <c r="A111" s="149"/>
      <c r="B111" s="150" t="s">
        <v>4</v>
      </c>
      <c r="C111" s="149"/>
      <c r="D111" s="151"/>
      <c r="E111" s="54"/>
      <c r="F111" s="60"/>
      <c r="G111" s="5"/>
      <c r="H111" s="13"/>
      <c r="I111" s="51"/>
      <c r="J111" s="51"/>
    </row>
    <row r="112" spans="1:10" s="7" customFormat="1" ht="18" customHeight="1">
      <c r="A112" s="65"/>
      <c r="B112" s="152" t="s">
        <v>44</v>
      </c>
      <c r="C112" s="133"/>
      <c r="D112" s="134"/>
      <c r="E112" s="54"/>
      <c r="F112" s="60"/>
      <c r="G112" s="5"/>
      <c r="H112" s="13"/>
      <c r="I112" s="51"/>
      <c r="J112" s="51"/>
    </row>
    <row r="113" spans="1:10" s="7" customFormat="1" ht="18" customHeight="1">
      <c r="A113" s="65"/>
      <c r="B113" s="152" t="s">
        <v>79</v>
      </c>
      <c r="C113" s="133"/>
      <c r="D113" s="134"/>
      <c r="E113" s="54"/>
      <c r="F113" s="60"/>
      <c r="G113" s="5"/>
      <c r="H113" s="13">
        <v>72805827.07</v>
      </c>
      <c r="I113" s="51"/>
      <c r="J113" s="51"/>
    </row>
    <row r="114" spans="1:10" s="7" customFormat="1" ht="18" customHeight="1">
      <c r="A114" s="65"/>
      <c r="B114" s="135" t="s">
        <v>45</v>
      </c>
      <c r="C114" s="133"/>
      <c r="D114" s="134"/>
      <c r="E114" s="54"/>
      <c r="F114" s="60"/>
      <c r="G114" s="5"/>
      <c r="H114" s="13">
        <f>H113-E295+G295</f>
        <v>77426432.72</v>
      </c>
      <c r="I114" s="51"/>
      <c r="J114" s="51"/>
    </row>
    <row r="115" spans="1:10" s="7" customFormat="1" ht="18" customHeight="1">
      <c r="A115" s="65"/>
      <c r="B115" s="135"/>
      <c r="C115" s="133"/>
      <c r="D115" s="134"/>
      <c r="E115" s="54"/>
      <c r="F115" s="60"/>
      <c r="G115" s="5"/>
      <c r="H115" s="13"/>
      <c r="I115" s="51"/>
      <c r="J115" s="51"/>
    </row>
    <row r="116" spans="1:30" s="1" customFormat="1" ht="15">
      <c r="A116" s="205" t="s">
        <v>105</v>
      </c>
      <c r="B116" s="205"/>
      <c r="C116" s="206"/>
      <c r="D116" s="207"/>
      <c r="E116" s="208"/>
      <c r="F116" s="207"/>
      <c r="G116" s="209"/>
      <c r="H116" s="210">
        <v>15730565.17</v>
      </c>
      <c r="I116" s="199"/>
      <c r="J116" s="198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</row>
    <row r="117" spans="1:30" s="1" customFormat="1" ht="15">
      <c r="A117" s="205"/>
      <c r="B117" s="211" t="s">
        <v>30</v>
      </c>
      <c r="C117" s="206"/>
      <c r="D117" s="207"/>
      <c r="E117" s="208"/>
      <c r="F117" s="207"/>
      <c r="G117" s="209"/>
      <c r="H117" s="210">
        <f>H116-D290</f>
        <v>15714565.17</v>
      </c>
      <c r="I117" s="199"/>
      <c r="J117" s="198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</row>
    <row r="118" spans="1:10" s="7" customFormat="1" ht="18" customHeight="1">
      <c r="A118" s="65"/>
      <c r="B118" s="135"/>
      <c r="C118" s="133"/>
      <c r="D118" s="134"/>
      <c r="E118" s="54"/>
      <c r="F118" s="60"/>
      <c r="G118" s="5"/>
      <c r="H118" s="13"/>
      <c r="I118" s="51"/>
      <c r="J118" s="51"/>
    </row>
    <row r="119" spans="1:10" s="7" customFormat="1" ht="18" customHeight="1">
      <c r="A119" s="129" t="s">
        <v>60</v>
      </c>
      <c r="B119" s="129"/>
      <c r="C119" s="53"/>
      <c r="D119" s="54"/>
      <c r="E119" s="112"/>
      <c r="F119" s="5"/>
      <c r="G119" s="5"/>
      <c r="H119" s="136">
        <f>H122+H129</f>
        <v>208482616.59</v>
      </c>
      <c r="I119" s="51"/>
      <c r="J119" s="51"/>
    </row>
    <row r="120" spans="1:10" s="7" customFormat="1" ht="18" customHeight="1">
      <c r="A120" s="129"/>
      <c r="B120" s="130" t="s">
        <v>30</v>
      </c>
      <c r="C120" s="53"/>
      <c r="D120" s="54"/>
      <c r="E120" s="112"/>
      <c r="F120" s="5"/>
      <c r="G120" s="5"/>
      <c r="H120" s="136">
        <f>H123+H130</f>
        <v>208682537.32999998</v>
      </c>
      <c r="I120" s="51"/>
      <c r="J120" s="51"/>
    </row>
    <row r="121" spans="1:10" s="7" customFormat="1" ht="18" customHeight="1">
      <c r="A121" s="131" t="s">
        <v>5</v>
      </c>
      <c r="B121" s="131" t="s">
        <v>25</v>
      </c>
      <c r="C121" s="98"/>
      <c r="D121" s="112"/>
      <c r="E121" s="112"/>
      <c r="F121" s="5"/>
      <c r="G121" s="5"/>
      <c r="H121" s="136"/>
      <c r="I121" s="51"/>
      <c r="J121" s="51"/>
    </row>
    <row r="122" spans="1:10" s="7" customFormat="1" ht="18" customHeight="1">
      <c r="A122" s="59" t="s">
        <v>31</v>
      </c>
      <c r="B122" s="59"/>
      <c r="C122" s="132"/>
      <c r="D122" s="60"/>
      <c r="E122" s="112"/>
      <c r="F122" s="5"/>
      <c r="G122" s="5"/>
      <c r="H122" s="136">
        <v>130835715.26</v>
      </c>
      <c r="I122" s="51"/>
      <c r="J122" s="51"/>
    </row>
    <row r="123" spans="1:10" s="7" customFormat="1" ht="18" customHeight="1">
      <c r="A123" s="59"/>
      <c r="B123" s="61" t="s">
        <v>30</v>
      </c>
      <c r="C123" s="132"/>
      <c r="D123" s="60"/>
      <c r="E123" s="54"/>
      <c r="F123" s="5"/>
      <c r="G123" s="5"/>
      <c r="H123" s="136">
        <f>H122-D522+F522+D400-F468</f>
        <v>130986288</v>
      </c>
      <c r="I123" s="51"/>
      <c r="J123" s="51"/>
    </row>
    <row r="124" spans="1:10" s="7" customFormat="1" ht="18" customHeight="1">
      <c r="A124" s="149"/>
      <c r="B124" s="150" t="s">
        <v>4</v>
      </c>
      <c r="C124" s="149"/>
      <c r="D124" s="151"/>
      <c r="E124" s="54"/>
      <c r="F124" s="60"/>
      <c r="G124" s="5"/>
      <c r="H124" s="13"/>
      <c r="I124" s="51"/>
      <c r="J124" s="51"/>
    </row>
    <row r="125" spans="1:10" s="7" customFormat="1" ht="18" customHeight="1">
      <c r="A125" s="65"/>
      <c r="B125" s="152" t="s">
        <v>44</v>
      </c>
      <c r="C125" s="133"/>
      <c r="D125" s="134"/>
      <c r="E125" s="54"/>
      <c r="F125" s="60"/>
      <c r="G125" s="5"/>
      <c r="H125" s="13"/>
      <c r="I125" s="51"/>
      <c r="J125" s="51"/>
    </row>
    <row r="126" spans="1:10" s="7" customFormat="1" ht="18" customHeight="1">
      <c r="A126" s="65"/>
      <c r="B126" s="152" t="s">
        <v>65</v>
      </c>
      <c r="C126" s="133"/>
      <c r="D126" s="134"/>
      <c r="E126" s="54"/>
      <c r="F126" s="60"/>
      <c r="G126" s="5"/>
      <c r="H126" s="13">
        <v>15731309.61</v>
      </c>
      <c r="I126" s="51"/>
      <c r="J126" s="51"/>
    </row>
    <row r="127" spans="1:10" s="7" customFormat="1" ht="18" customHeight="1">
      <c r="A127" s="65"/>
      <c r="B127" s="135" t="s">
        <v>45</v>
      </c>
      <c r="C127" s="133"/>
      <c r="D127" s="134"/>
      <c r="E127" s="54"/>
      <c r="F127" s="60"/>
      <c r="G127" s="5"/>
      <c r="H127" s="13">
        <f>H126-E522+G522</f>
        <v>15762134.35</v>
      </c>
      <c r="I127" s="51"/>
      <c r="J127" s="51"/>
    </row>
    <row r="128" spans="1:10" s="7" customFormat="1" ht="18" customHeight="1">
      <c r="A128" s="59"/>
      <c r="B128" s="61"/>
      <c r="C128" s="132"/>
      <c r="D128" s="60"/>
      <c r="E128" s="54"/>
      <c r="F128" s="5"/>
      <c r="G128" s="5"/>
      <c r="H128" s="136"/>
      <c r="I128" s="51"/>
      <c r="J128" s="51"/>
    </row>
    <row r="129" spans="1:30" s="1" customFormat="1" ht="15">
      <c r="A129" s="59" t="s">
        <v>105</v>
      </c>
      <c r="B129" s="59"/>
      <c r="C129" s="53"/>
      <c r="D129" s="60"/>
      <c r="E129" s="54"/>
      <c r="F129" s="60"/>
      <c r="G129" s="58"/>
      <c r="H129" s="16">
        <v>77646901.33</v>
      </c>
      <c r="I129" s="199"/>
      <c r="J129" s="198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</row>
    <row r="130" spans="1:30" s="1" customFormat="1" ht="15">
      <c r="A130" s="59"/>
      <c r="B130" s="61" t="s">
        <v>30</v>
      </c>
      <c r="C130" s="53"/>
      <c r="D130" s="60"/>
      <c r="E130" s="54"/>
      <c r="F130" s="60"/>
      <c r="G130" s="58"/>
      <c r="H130" s="16">
        <f>H129-D400+F468</f>
        <v>77696249.33</v>
      </c>
      <c r="I130" s="199"/>
      <c r="J130" s="198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</row>
    <row r="131" spans="1:10" s="7" customFormat="1" ht="18" customHeight="1">
      <c r="A131" s="59"/>
      <c r="B131" s="61"/>
      <c r="C131" s="132"/>
      <c r="D131" s="60"/>
      <c r="E131" s="54"/>
      <c r="F131" s="5"/>
      <c r="G131" s="5"/>
      <c r="H131" s="136"/>
      <c r="I131" s="51"/>
      <c r="J131" s="51"/>
    </row>
    <row r="132" spans="1:10" s="7" customFormat="1" ht="18" customHeight="1">
      <c r="A132" s="65"/>
      <c r="B132" s="135"/>
      <c r="C132" s="133"/>
      <c r="D132" s="134"/>
      <c r="E132" s="54"/>
      <c r="F132" s="60"/>
      <c r="G132" s="5"/>
      <c r="H132" s="13"/>
      <c r="I132" s="51"/>
      <c r="J132" s="51"/>
    </row>
    <row r="133" spans="1:8" ht="18" customHeight="1">
      <c r="A133" s="82" t="s">
        <v>12</v>
      </c>
      <c r="B133" s="77"/>
      <c r="C133" s="27"/>
      <c r="D133" s="28"/>
      <c r="E133" s="28"/>
      <c r="F133" s="28"/>
      <c r="G133" s="28"/>
      <c r="H133" s="29"/>
    </row>
    <row r="134" spans="1:8" ht="18" customHeight="1">
      <c r="A134" s="82"/>
      <c r="B134" s="77"/>
      <c r="C134" s="27"/>
      <c r="D134" s="28"/>
      <c r="E134" s="28"/>
      <c r="F134" s="28"/>
      <c r="G134" s="28"/>
      <c r="H134" s="29"/>
    </row>
    <row r="135" spans="1:8" ht="18" customHeight="1">
      <c r="A135" s="70" t="s">
        <v>163</v>
      </c>
      <c r="B135" s="70"/>
      <c r="C135" s="30"/>
      <c r="D135" s="3"/>
      <c r="E135" s="3"/>
      <c r="F135" s="3"/>
      <c r="G135" s="3"/>
      <c r="H135" s="31"/>
    </row>
    <row r="136" spans="1:8" ht="18" customHeight="1">
      <c r="A136" s="70"/>
      <c r="B136" s="70"/>
      <c r="C136" s="30"/>
      <c r="D136" s="3"/>
      <c r="E136" s="3"/>
      <c r="F136" s="3"/>
      <c r="G136" s="3"/>
      <c r="H136" s="31"/>
    </row>
    <row r="137" spans="1:8" ht="18">
      <c r="A137" s="71"/>
      <c r="B137" s="71"/>
      <c r="C137" s="18"/>
      <c r="D137" s="19" t="s">
        <v>0</v>
      </c>
      <c r="E137" s="20"/>
      <c r="F137" s="19" t="s">
        <v>1</v>
      </c>
      <c r="G137" s="20"/>
      <c r="H137" s="31"/>
    </row>
    <row r="138" spans="1:8" ht="13.5" customHeight="1">
      <c r="A138" s="72"/>
      <c r="B138" s="72"/>
      <c r="C138" s="21"/>
      <c r="D138" s="22" t="s">
        <v>5</v>
      </c>
      <c r="E138" s="20" t="s">
        <v>4</v>
      </c>
      <c r="F138" s="22" t="s">
        <v>5</v>
      </c>
      <c r="G138" s="20" t="s">
        <v>4</v>
      </c>
      <c r="H138" s="31"/>
    </row>
    <row r="139" spans="1:8" ht="29.25" customHeight="1">
      <c r="A139" s="55" t="s">
        <v>7</v>
      </c>
      <c r="B139" s="55" t="s">
        <v>11</v>
      </c>
      <c r="C139" s="23" t="s">
        <v>8</v>
      </c>
      <c r="D139" s="24" t="s">
        <v>9</v>
      </c>
      <c r="E139" s="25" t="s">
        <v>10</v>
      </c>
      <c r="F139" s="24" t="s">
        <v>9</v>
      </c>
      <c r="G139" s="25" t="s">
        <v>10</v>
      </c>
      <c r="H139" s="31"/>
    </row>
    <row r="140" spans="1:8" ht="21.75" customHeight="1">
      <c r="A140" s="56" t="s">
        <v>158</v>
      </c>
      <c r="B140" s="56" t="s">
        <v>160</v>
      </c>
      <c r="C140" s="39"/>
      <c r="D140" s="42">
        <f>SUM(D141:D142)</f>
        <v>200</v>
      </c>
      <c r="E140" s="42">
        <f>SUM(E141:E142)</f>
        <v>0</v>
      </c>
      <c r="F140" s="42">
        <f>SUM(F141:F142)</f>
        <v>200</v>
      </c>
      <c r="G140" s="42">
        <f>SUM(G141:G142)</f>
        <v>0</v>
      </c>
      <c r="H140" s="31"/>
    </row>
    <row r="141" spans="1:8" ht="21.75" customHeight="1">
      <c r="A141" s="154"/>
      <c r="B141" s="62"/>
      <c r="C141" s="141">
        <v>4110</v>
      </c>
      <c r="D141" s="142"/>
      <c r="E141" s="142"/>
      <c r="F141" s="142">
        <f>200</f>
        <v>200</v>
      </c>
      <c r="G141" s="142"/>
      <c r="H141" s="31"/>
    </row>
    <row r="142" spans="1:8" ht="21.75" customHeight="1">
      <c r="A142" s="154"/>
      <c r="B142" s="67"/>
      <c r="C142" s="141">
        <v>4170</v>
      </c>
      <c r="D142" s="142">
        <f>200</f>
        <v>200</v>
      </c>
      <c r="E142" s="142"/>
      <c r="F142" s="142"/>
      <c r="G142" s="142"/>
      <c r="H142" s="31"/>
    </row>
    <row r="143" spans="1:8" ht="22.5" customHeight="1">
      <c r="A143" s="157" t="s">
        <v>49</v>
      </c>
      <c r="B143" s="56"/>
      <c r="C143" s="155"/>
      <c r="D143" s="156">
        <f>D144+D147+D153+D157</f>
        <v>67787.67</v>
      </c>
      <c r="E143" s="156">
        <f>E144+E147+E153+E157</f>
        <v>1107.14</v>
      </c>
      <c r="F143" s="156">
        <f>F144+F147+F153+F157</f>
        <v>67787.67</v>
      </c>
      <c r="G143" s="156">
        <f>G144+G147+G153+G157</f>
        <v>1107.14</v>
      </c>
      <c r="H143" s="31"/>
    </row>
    <row r="144" spans="1:8" ht="22.5" customHeight="1">
      <c r="A144" s="139"/>
      <c r="B144" s="81" t="s">
        <v>109</v>
      </c>
      <c r="C144" s="46"/>
      <c r="D144" s="47">
        <f>SUM(D145:D146)</f>
        <v>1107.14</v>
      </c>
      <c r="E144" s="47">
        <f>SUM(E145:E146)</f>
        <v>1107.14</v>
      </c>
      <c r="F144" s="47">
        <f>SUM(F145:F146)</f>
        <v>1107.14</v>
      </c>
      <c r="G144" s="47">
        <f>SUM(G145:G146)</f>
        <v>1107.14</v>
      </c>
      <c r="H144" s="31"/>
    </row>
    <row r="145" spans="1:8" ht="22.5" customHeight="1">
      <c r="A145" s="139"/>
      <c r="B145" s="67"/>
      <c r="C145" s="46">
        <v>4120</v>
      </c>
      <c r="D145" s="47">
        <f>1107.14</f>
        <v>1107.14</v>
      </c>
      <c r="E145" s="47">
        <f>1107.14</f>
        <v>1107.14</v>
      </c>
      <c r="F145" s="47"/>
      <c r="G145" s="47"/>
      <c r="H145" s="31"/>
    </row>
    <row r="146" spans="1:8" ht="22.5" customHeight="1">
      <c r="A146" s="139"/>
      <c r="B146" s="67"/>
      <c r="C146" s="46">
        <v>4440</v>
      </c>
      <c r="D146" s="47"/>
      <c r="E146" s="47"/>
      <c r="F146" s="47">
        <f>1107.14</f>
        <v>1107.14</v>
      </c>
      <c r="G146" s="47">
        <f>1107.14</f>
        <v>1107.14</v>
      </c>
      <c r="H146" s="31"/>
    </row>
    <row r="147" spans="1:8" ht="22.5" customHeight="1">
      <c r="A147" s="139"/>
      <c r="B147" s="81" t="s">
        <v>103</v>
      </c>
      <c r="C147" s="46"/>
      <c r="D147" s="47">
        <f>SUM(D148:D152)</f>
        <v>22120.53</v>
      </c>
      <c r="E147" s="47">
        <f>SUM(E148:E152)</f>
        <v>0</v>
      </c>
      <c r="F147" s="47">
        <f>SUM(F148:F152)</f>
        <v>22120.53</v>
      </c>
      <c r="G147" s="47">
        <f>SUM(G148:G152)</f>
        <v>0</v>
      </c>
      <c r="H147" s="31"/>
    </row>
    <row r="148" spans="1:8" ht="22.5" customHeight="1">
      <c r="A148" s="139"/>
      <c r="B148" s="154"/>
      <c r="C148" s="46">
        <v>4120</v>
      </c>
      <c r="D148" s="47">
        <f>12120.53</f>
        <v>12120.53</v>
      </c>
      <c r="E148" s="47"/>
      <c r="F148" s="47"/>
      <c r="G148" s="47"/>
      <c r="H148" s="31"/>
    </row>
    <row r="149" spans="1:8" ht="22.5" customHeight="1">
      <c r="A149" s="139"/>
      <c r="B149" s="154"/>
      <c r="C149" s="46">
        <v>4210</v>
      </c>
      <c r="D149" s="47">
        <f>3000</f>
        <v>3000</v>
      </c>
      <c r="E149" s="47"/>
      <c r="F149" s="47"/>
      <c r="G149" s="47"/>
      <c r="H149" s="31"/>
    </row>
    <row r="150" spans="1:8" ht="22.5" customHeight="1">
      <c r="A150" s="139"/>
      <c r="B150" s="154"/>
      <c r="C150" s="46">
        <v>4300</v>
      </c>
      <c r="D150" s="47"/>
      <c r="E150" s="47"/>
      <c r="F150" s="47">
        <f>10000</f>
        <v>10000</v>
      </c>
      <c r="G150" s="47"/>
      <c r="H150" s="31"/>
    </row>
    <row r="151" spans="1:8" ht="22.5" customHeight="1">
      <c r="A151" s="139"/>
      <c r="B151" s="154"/>
      <c r="C151" s="46">
        <v>4430</v>
      </c>
      <c r="D151" s="47">
        <f>7000</f>
        <v>7000</v>
      </c>
      <c r="E151" s="47"/>
      <c r="F151" s="47"/>
      <c r="G151" s="47"/>
      <c r="H151" s="31"/>
    </row>
    <row r="152" spans="1:8" ht="22.5" customHeight="1">
      <c r="A152" s="139"/>
      <c r="B152" s="160"/>
      <c r="C152" s="46">
        <v>4440</v>
      </c>
      <c r="D152" s="47"/>
      <c r="E152" s="47"/>
      <c r="F152" s="47">
        <f>12120.53</f>
        <v>12120.53</v>
      </c>
      <c r="G152" s="47"/>
      <c r="H152" s="31"/>
    </row>
    <row r="153" spans="1:8" ht="22.5" customHeight="1">
      <c r="A153" s="139"/>
      <c r="B153" s="81" t="s">
        <v>123</v>
      </c>
      <c r="C153" s="141"/>
      <c r="D153" s="80">
        <f>SUM(D154:D156)</f>
        <v>12000</v>
      </c>
      <c r="E153" s="80">
        <f>SUM(E154:E156)</f>
        <v>0</v>
      </c>
      <c r="F153" s="80">
        <f>SUM(F154:F156)</f>
        <v>44500</v>
      </c>
      <c r="G153" s="80">
        <f>SUM(G154:G156)</f>
        <v>0</v>
      </c>
      <c r="H153" s="31"/>
    </row>
    <row r="154" spans="1:8" ht="22.5" customHeight="1">
      <c r="A154" s="139"/>
      <c r="B154" s="67"/>
      <c r="C154" s="46">
        <v>4170</v>
      </c>
      <c r="D154" s="47">
        <f>2000</f>
        <v>2000</v>
      </c>
      <c r="E154" s="47"/>
      <c r="F154" s="47"/>
      <c r="G154" s="47"/>
      <c r="H154" s="31"/>
    </row>
    <row r="155" spans="1:8" ht="22.5" customHeight="1">
      <c r="A155" s="139"/>
      <c r="B155" s="67"/>
      <c r="C155" s="46">
        <v>4210</v>
      </c>
      <c r="D155" s="47">
        <f>10000</f>
        <v>10000</v>
      </c>
      <c r="E155" s="47"/>
      <c r="F155" s="47"/>
      <c r="G155" s="47"/>
      <c r="H155" s="31"/>
    </row>
    <row r="156" spans="1:8" ht="22.5" customHeight="1">
      <c r="A156" s="139"/>
      <c r="B156" s="67"/>
      <c r="C156" s="46">
        <v>4300</v>
      </c>
      <c r="D156" s="47"/>
      <c r="E156" s="47"/>
      <c r="F156" s="47">
        <f>44500</f>
        <v>44500</v>
      </c>
      <c r="G156" s="47"/>
      <c r="H156" s="31"/>
    </row>
    <row r="157" spans="1:8" ht="22.5" customHeight="1">
      <c r="A157" s="139"/>
      <c r="B157" s="81" t="s">
        <v>104</v>
      </c>
      <c r="C157" s="141"/>
      <c r="D157" s="80">
        <f>SUM(D158:D161)</f>
        <v>32560</v>
      </c>
      <c r="E157" s="80">
        <f>SUM(E158:E161)</f>
        <v>0</v>
      </c>
      <c r="F157" s="80">
        <f>SUM(F158:F161)</f>
        <v>60</v>
      </c>
      <c r="G157" s="80">
        <f>SUM(G158:G161)</f>
        <v>0</v>
      </c>
      <c r="H157" s="31"/>
    </row>
    <row r="158" spans="1:8" ht="22.5" customHeight="1">
      <c r="A158" s="139"/>
      <c r="B158" s="67"/>
      <c r="C158" s="46">
        <v>4170</v>
      </c>
      <c r="D158" s="47">
        <f>13000</f>
        <v>13000</v>
      </c>
      <c r="E158" s="47"/>
      <c r="F158" s="47"/>
      <c r="G158" s="47"/>
      <c r="H158" s="31"/>
    </row>
    <row r="159" spans="1:8" ht="22.5" customHeight="1">
      <c r="A159" s="139"/>
      <c r="B159" s="67"/>
      <c r="C159" s="46">
        <v>4190</v>
      </c>
      <c r="D159" s="47"/>
      <c r="E159" s="47"/>
      <c r="F159" s="47">
        <f>60</f>
        <v>60</v>
      </c>
      <c r="G159" s="47"/>
      <c r="H159" s="31"/>
    </row>
    <row r="160" spans="1:8" ht="22.5" customHeight="1">
      <c r="A160" s="139"/>
      <c r="B160" s="67"/>
      <c r="C160" s="46">
        <v>4210</v>
      </c>
      <c r="D160" s="47">
        <f>9000</f>
        <v>9000</v>
      </c>
      <c r="E160" s="47"/>
      <c r="F160" s="47"/>
      <c r="G160" s="47"/>
      <c r="H160" s="31"/>
    </row>
    <row r="161" spans="1:8" ht="22.5" customHeight="1">
      <c r="A161" s="139"/>
      <c r="B161" s="67"/>
      <c r="C161" s="46">
        <v>4300</v>
      </c>
      <c r="D161" s="47">
        <f>10560</f>
        <v>10560</v>
      </c>
      <c r="E161" s="47"/>
      <c r="F161" s="47"/>
      <c r="G161" s="47"/>
      <c r="H161" s="31"/>
    </row>
    <row r="162" spans="1:10" s="49" customFormat="1" ht="21.75" customHeight="1">
      <c r="A162" s="56" t="s">
        <v>15</v>
      </c>
      <c r="B162" s="81"/>
      <c r="C162" s="88"/>
      <c r="D162" s="42">
        <f>D163+D180+D201+D205+D210+D217+D226</f>
        <v>270286</v>
      </c>
      <c r="E162" s="42">
        <f>E163+E180+E201+E205+E210+E217+E226</f>
        <v>0</v>
      </c>
      <c r="F162" s="42">
        <f>F163+F180+F201+F205+F210+F217+F226</f>
        <v>274125.65</v>
      </c>
      <c r="G162" s="42">
        <f>G163+G180+G201+G205+G210+G217+G226</f>
        <v>3839.65</v>
      </c>
      <c r="H162" s="48"/>
      <c r="I162" s="50"/>
      <c r="J162" s="50"/>
    </row>
    <row r="163" spans="1:10" s="49" customFormat="1" ht="21.75" customHeight="1">
      <c r="A163" s="139"/>
      <c r="B163" s="81" t="s">
        <v>55</v>
      </c>
      <c r="C163" s="141"/>
      <c r="D163" s="80">
        <f>SUM(D164:D179)</f>
        <v>100634</v>
      </c>
      <c r="E163" s="80">
        <f>SUM(E164:E179)</f>
        <v>0</v>
      </c>
      <c r="F163" s="80">
        <f>SUM(F164:F179)</f>
        <v>6634</v>
      </c>
      <c r="G163" s="80">
        <f>SUM(G164:G179)</f>
        <v>0</v>
      </c>
      <c r="H163" s="48"/>
      <c r="I163" s="50"/>
      <c r="J163" s="50"/>
    </row>
    <row r="164" spans="1:10" s="49" customFormat="1" ht="21.75" customHeight="1">
      <c r="A164" s="139"/>
      <c r="B164" s="62"/>
      <c r="C164" s="162">
        <v>3020</v>
      </c>
      <c r="D164" s="80">
        <f>2000</f>
        <v>2000</v>
      </c>
      <c r="E164" s="80"/>
      <c r="F164" s="80"/>
      <c r="G164" s="80"/>
      <c r="H164" s="48"/>
      <c r="I164" s="50"/>
      <c r="J164" s="50"/>
    </row>
    <row r="165" spans="1:10" s="49" customFormat="1" ht="21.75" customHeight="1">
      <c r="A165" s="139"/>
      <c r="B165" s="67"/>
      <c r="C165" s="141">
        <v>4010</v>
      </c>
      <c r="D165" s="80">
        <f>90000-16000-39885</f>
        <v>34115</v>
      </c>
      <c r="E165" s="80"/>
      <c r="F165" s="80"/>
      <c r="G165" s="80"/>
      <c r="H165" s="48"/>
      <c r="I165" s="50"/>
      <c r="J165" s="50"/>
    </row>
    <row r="166" spans="1:10" s="49" customFormat="1" ht="21.75" customHeight="1">
      <c r="A166" s="139"/>
      <c r="B166" s="67"/>
      <c r="C166" s="141">
        <v>4110</v>
      </c>
      <c r="D166" s="80">
        <f>10000</f>
        <v>10000</v>
      </c>
      <c r="E166" s="80"/>
      <c r="F166" s="80"/>
      <c r="G166" s="80"/>
      <c r="H166" s="48"/>
      <c r="I166" s="50"/>
      <c r="J166" s="50"/>
    </row>
    <row r="167" spans="1:10" s="49" customFormat="1" ht="21.75" customHeight="1">
      <c r="A167" s="139"/>
      <c r="B167" s="67"/>
      <c r="C167" s="141">
        <v>4170</v>
      </c>
      <c r="D167" s="80"/>
      <c r="E167" s="80"/>
      <c r="F167" s="80">
        <f>2400</f>
        <v>2400</v>
      </c>
      <c r="G167" s="80"/>
      <c r="H167" s="48"/>
      <c r="I167" s="50"/>
      <c r="J167" s="50"/>
    </row>
    <row r="168" spans="1:10" s="49" customFormat="1" ht="21.75" customHeight="1">
      <c r="A168" s="139"/>
      <c r="B168" s="67"/>
      <c r="C168" s="141">
        <v>4190</v>
      </c>
      <c r="D168" s="80">
        <f>200</f>
        <v>200</v>
      </c>
      <c r="E168" s="80"/>
      <c r="F168" s="80"/>
      <c r="G168" s="80"/>
      <c r="H168" s="48"/>
      <c r="I168" s="50"/>
      <c r="J168" s="50"/>
    </row>
    <row r="169" spans="1:10" s="49" customFormat="1" ht="21.75" customHeight="1">
      <c r="A169" s="139"/>
      <c r="B169" s="67"/>
      <c r="C169" s="141">
        <v>4210</v>
      </c>
      <c r="D169" s="80">
        <f>2000-1500</f>
        <v>500</v>
      </c>
      <c r="E169" s="80"/>
      <c r="F169" s="80"/>
      <c r="G169" s="80"/>
      <c r="H169" s="48"/>
      <c r="I169" s="50"/>
      <c r="J169" s="50"/>
    </row>
    <row r="170" spans="1:10" s="49" customFormat="1" ht="21.75" customHeight="1">
      <c r="A170" s="139"/>
      <c r="B170" s="67"/>
      <c r="C170" s="141">
        <v>4240</v>
      </c>
      <c r="D170" s="80">
        <f>6615</f>
        <v>6615</v>
      </c>
      <c r="E170" s="80"/>
      <c r="F170" s="80"/>
      <c r="G170" s="80"/>
      <c r="H170" s="48"/>
      <c r="I170" s="50"/>
      <c r="J170" s="50"/>
    </row>
    <row r="171" spans="1:10" s="49" customFormat="1" ht="21.75" customHeight="1">
      <c r="A171" s="139"/>
      <c r="B171" s="67"/>
      <c r="C171" s="141">
        <v>4260</v>
      </c>
      <c r="D171" s="80"/>
      <c r="E171" s="80"/>
      <c r="F171" s="80">
        <f>1615</f>
        <v>1615</v>
      </c>
      <c r="G171" s="80"/>
      <c r="H171" s="48"/>
      <c r="I171" s="50"/>
      <c r="J171" s="50"/>
    </row>
    <row r="172" spans="1:10" s="49" customFormat="1" ht="21.75" customHeight="1">
      <c r="A172" s="139"/>
      <c r="B172" s="67"/>
      <c r="C172" s="141">
        <v>4270</v>
      </c>
      <c r="D172" s="80">
        <f>32000</f>
        <v>32000</v>
      </c>
      <c r="E172" s="80"/>
      <c r="F172" s="80"/>
      <c r="G172" s="80"/>
      <c r="H172" s="48"/>
      <c r="I172" s="50"/>
      <c r="J172" s="50"/>
    </row>
    <row r="173" spans="1:10" s="49" customFormat="1" ht="21.75" customHeight="1">
      <c r="A173" s="139"/>
      <c r="B173" s="67"/>
      <c r="C173" s="141">
        <v>4280</v>
      </c>
      <c r="D173" s="80">
        <f>1319</f>
        <v>1319</v>
      </c>
      <c r="E173" s="80"/>
      <c r="F173" s="80"/>
      <c r="G173" s="80"/>
      <c r="H173" s="48"/>
      <c r="I173" s="50"/>
      <c r="J173" s="50"/>
    </row>
    <row r="174" spans="1:10" s="49" customFormat="1" ht="21.75" customHeight="1">
      <c r="A174" s="139"/>
      <c r="B174" s="67"/>
      <c r="C174" s="141">
        <v>4300</v>
      </c>
      <c r="D174" s="80"/>
      <c r="E174" s="80"/>
      <c r="F174" s="80">
        <f>8300-7500</f>
        <v>800</v>
      </c>
      <c r="G174" s="80"/>
      <c r="H174" s="48"/>
      <c r="I174" s="50"/>
      <c r="J174" s="50"/>
    </row>
    <row r="175" spans="1:10" s="49" customFormat="1" ht="21.75" customHeight="1">
      <c r="A175" s="139"/>
      <c r="B175" s="67"/>
      <c r="C175" s="141">
        <v>4360</v>
      </c>
      <c r="D175" s="80">
        <f>1790+2200</f>
        <v>3990</v>
      </c>
      <c r="E175" s="80"/>
      <c r="F175" s="80"/>
      <c r="G175" s="80"/>
      <c r="H175" s="48"/>
      <c r="I175" s="50"/>
      <c r="J175" s="50"/>
    </row>
    <row r="176" spans="1:10" s="49" customFormat="1" ht="21.75" customHeight="1">
      <c r="A176" s="139"/>
      <c r="B176" s="67"/>
      <c r="C176" s="141">
        <v>4390</v>
      </c>
      <c r="D176" s="80">
        <f>500+7885</f>
        <v>8385</v>
      </c>
      <c r="E176" s="80"/>
      <c r="F176" s="80"/>
      <c r="G176" s="80"/>
      <c r="H176" s="48"/>
      <c r="I176" s="50"/>
      <c r="J176" s="50"/>
    </row>
    <row r="177" spans="1:10" s="49" customFormat="1" ht="21.75" customHeight="1">
      <c r="A177" s="139"/>
      <c r="B177" s="67"/>
      <c r="C177" s="141">
        <v>4410</v>
      </c>
      <c r="D177" s="80">
        <f>1510</f>
        <v>1510</v>
      </c>
      <c r="E177" s="80"/>
      <c r="F177" s="80"/>
      <c r="G177" s="80"/>
      <c r="H177" s="48"/>
      <c r="I177" s="50"/>
      <c r="J177" s="50"/>
    </row>
    <row r="178" spans="1:10" s="49" customFormat="1" ht="21.75" customHeight="1">
      <c r="A178" s="139"/>
      <c r="B178" s="67"/>
      <c r="C178" s="141">
        <v>4440</v>
      </c>
      <c r="D178" s="80"/>
      <c r="E178" s="80"/>
      <c r="F178" s="80">
        <f>1319</f>
        <v>1319</v>
      </c>
      <c r="G178" s="80"/>
      <c r="H178" s="48"/>
      <c r="I178" s="50"/>
      <c r="J178" s="50"/>
    </row>
    <row r="179" spans="1:10" s="49" customFormat="1" ht="21.75" customHeight="1">
      <c r="A179" s="139"/>
      <c r="B179" s="67"/>
      <c r="C179" s="141">
        <v>4700</v>
      </c>
      <c r="D179" s="80"/>
      <c r="E179" s="80"/>
      <c r="F179" s="80">
        <f>500</f>
        <v>500</v>
      </c>
      <c r="G179" s="80"/>
      <c r="H179" s="48"/>
      <c r="I179" s="50"/>
      <c r="J179" s="50"/>
    </row>
    <row r="180" spans="1:10" s="49" customFormat="1" ht="21.75" customHeight="1">
      <c r="A180" s="139"/>
      <c r="B180" s="81" t="s">
        <v>90</v>
      </c>
      <c r="C180" s="141"/>
      <c r="D180" s="80">
        <f>SUM(D181:D200)</f>
        <v>98318</v>
      </c>
      <c r="E180" s="80">
        <f>SUM(E181:E200)</f>
        <v>0</v>
      </c>
      <c r="F180" s="80">
        <f>SUM(F181:F200)</f>
        <v>79324</v>
      </c>
      <c r="G180" s="80">
        <f>SUM(G181:G200)</f>
        <v>0</v>
      </c>
      <c r="H180" s="48"/>
      <c r="I180" s="50"/>
      <c r="J180" s="50"/>
    </row>
    <row r="181" spans="1:10" s="49" customFormat="1" ht="21.75" customHeight="1">
      <c r="A181" s="139"/>
      <c r="B181" s="67"/>
      <c r="C181" s="46">
        <v>3020</v>
      </c>
      <c r="D181" s="47"/>
      <c r="E181" s="47"/>
      <c r="F181" s="47">
        <f>700+800-408</f>
        <v>1092</v>
      </c>
      <c r="G181" s="47"/>
      <c r="H181" s="48"/>
      <c r="I181" s="50"/>
      <c r="J181" s="50"/>
    </row>
    <row r="182" spans="1:10" s="49" customFormat="1" ht="21.75" customHeight="1">
      <c r="A182" s="139"/>
      <c r="B182" s="67"/>
      <c r="C182" s="46">
        <v>3260</v>
      </c>
      <c r="D182" s="47">
        <f>1059</f>
        <v>1059</v>
      </c>
      <c r="E182" s="47"/>
      <c r="F182" s="47"/>
      <c r="G182" s="47"/>
      <c r="H182" s="48"/>
      <c r="I182" s="50"/>
      <c r="J182" s="50"/>
    </row>
    <row r="183" spans="1:10" s="49" customFormat="1" ht="21.75" customHeight="1">
      <c r="A183" s="139"/>
      <c r="B183" s="67"/>
      <c r="C183" s="161">
        <v>4010</v>
      </c>
      <c r="D183" s="47"/>
      <c r="E183" s="47"/>
      <c r="F183" s="47">
        <f>10237+4500+4000+6000+1494+8000+12270+16227-15804</f>
        <v>46924</v>
      </c>
      <c r="G183" s="47"/>
      <c r="H183" s="48"/>
      <c r="I183" s="50"/>
      <c r="J183" s="50"/>
    </row>
    <row r="184" spans="1:10" s="49" customFormat="1" ht="21.75" customHeight="1">
      <c r="A184" s="139"/>
      <c r="B184" s="67"/>
      <c r="C184" s="161">
        <v>4040</v>
      </c>
      <c r="D184" s="47">
        <f>313+629+4000</f>
        <v>4942</v>
      </c>
      <c r="E184" s="47"/>
      <c r="F184" s="47"/>
      <c r="G184" s="47"/>
      <c r="H184" s="48"/>
      <c r="I184" s="50"/>
      <c r="J184" s="50"/>
    </row>
    <row r="185" spans="1:10" s="49" customFormat="1" ht="21.75" customHeight="1">
      <c r="A185" s="139"/>
      <c r="B185" s="67"/>
      <c r="C185" s="161">
        <v>4110</v>
      </c>
      <c r="D185" s="47"/>
      <c r="E185" s="47"/>
      <c r="F185" s="47">
        <f>4000+12900+2500+5800-2792</f>
        <v>22408</v>
      </c>
      <c r="G185" s="47"/>
      <c r="H185" s="48"/>
      <c r="I185" s="50"/>
      <c r="J185" s="50"/>
    </row>
    <row r="186" spans="1:10" s="49" customFormat="1" ht="21.75" customHeight="1">
      <c r="A186" s="139"/>
      <c r="B186" s="67"/>
      <c r="C186" s="161">
        <v>4120</v>
      </c>
      <c r="D186" s="47">
        <f>300+500+98+6500+4000+3800+2500+5800+5000</f>
        <v>28498</v>
      </c>
      <c r="E186" s="47"/>
      <c r="F186" s="47"/>
      <c r="G186" s="47"/>
      <c r="H186" s="48"/>
      <c r="I186" s="50"/>
      <c r="J186" s="50"/>
    </row>
    <row r="187" spans="1:10" s="49" customFormat="1" ht="21.75" customHeight="1">
      <c r="A187" s="139"/>
      <c r="B187" s="67"/>
      <c r="C187" s="161">
        <v>4140</v>
      </c>
      <c r="D187" s="47">
        <f>301+6000+5808+2000</f>
        <v>14109</v>
      </c>
      <c r="E187" s="47"/>
      <c r="F187" s="47"/>
      <c r="G187" s="47"/>
      <c r="H187" s="48"/>
      <c r="I187" s="50"/>
      <c r="J187" s="50"/>
    </row>
    <row r="188" spans="1:10" s="49" customFormat="1" ht="21.75" customHeight="1">
      <c r="A188" s="139"/>
      <c r="B188" s="67"/>
      <c r="C188" s="162">
        <v>4170</v>
      </c>
      <c r="D188" s="80">
        <f>1280</f>
        <v>1280</v>
      </c>
      <c r="E188" s="80"/>
      <c r="F188" s="80"/>
      <c r="G188" s="80"/>
      <c r="H188" s="48"/>
      <c r="I188" s="50"/>
      <c r="J188" s="50"/>
    </row>
    <row r="189" spans="1:10" s="49" customFormat="1" ht="21.75" customHeight="1">
      <c r="A189" s="139"/>
      <c r="B189" s="67"/>
      <c r="C189" s="161">
        <v>4210</v>
      </c>
      <c r="D189" s="47"/>
      <c r="E189" s="47"/>
      <c r="F189" s="47">
        <f>2000+2800</f>
        <v>4800</v>
      </c>
      <c r="G189" s="47"/>
      <c r="H189" s="48"/>
      <c r="I189" s="50"/>
      <c r="J189" s="50"/>
    </row>
    <row r="190" spans="1:10" s="49" customFormat="1" ht="21.75" customHeight="1">
      <c r="A190" s="139"/>
      <c r="B190" s="67"/>
      <c r="C190" s="161">
        <v>4240</v>
      </c>
      <c r="D190" s="47">
        <f>1485</f>
        <v>1485</v>
      </c>
      <c r="E190" s="47"/>
      <c r="F190" s="47"/>
      <c r="G190" s="47"/>
      <c r="H190" s="48"/>
      <c r="I190" s="50"/>
      <c r="J190" s="50"/>
    </row>
    <row r="191" spans="1:10" s="49" customFormat="1" ht="21.75" customHeight="1">
      <c r="A191" s="139"/>
      <c r="B191" s="67"/>
      <c r="C191" s="161">
        <v>4260</v>
      </c>
      <c r="D191" s="47">
        <f>1200+14000-5000</f>
        <v>10200</v>
      </c>
      <c r="E191" s="47"/>
      <c r="F191" s="47"/>
      <c r="G191" s="47"/>
      <c r="H191" s="48"/>
      <c r="I191" s="50"/>
      <c r="J191" s="50"/>
    </row>
    <row r="192" spans="1:10" s="49" customFormat="1" ht="21.75" customHeight="1">
      <c r="A192" s="139"/>
      <c r="B192" s="67"/>
      <c r="C192" s="161">
        <v>4270</v>
      </c>
      <c r="D192" s="47"/>
      <c r="E192" s="47"/>
      <c r="F192" s="47">
        <f>2544+400-1000</f>
        <v>1944</v>
      </c>
      <c r="G192" s="47"/>
      <c r="H192" s="48"/>
      <c r="I192" s="50"/>
      <c r="J192" s="50"/>
    </row>
    <row r="193" spans="1:10" s="49" customFormat="1" ht="21.75" customHeight="1">
      <c r="A193" s="139"/>
      <c r="B193" s="67"/>
      <c r="C193" s="161">
        <v>4280</v>
      </c>
      <c r="D193" s="47">
        <f>1335</f>
        <v>1335</v>
      </c>
      <c r="E193" s="47"/>
      <c r="F193" s="47"/>
      <c r="G193" s="47"/>
      <c r="H193" s="48"/>
      <c r="I193" s="50"/>
      <c r="J193" s="50"/>
    </row>
    <row r="194" spans="1:10" s="49" customFormat="1" ht="21.75" customHeight="1">
      <c r="A194" s="139"/>
      <c r="B194" s="67"/>
      <c r="C194" s="46">
        <v>4300</v>
      </c>
      <c r="D194" s="47"/>
      <c r="E194" s="47"/>
      <c r="F194" s="47">
        <f>1000+2909-2000</f>
        <v>1909</v>
      </c>
      <c r="G194" s="47"/>
      <c r="H194" s="48"/>
      <c r="I194" s="50"/>
      <c r="J194" s="50"/>
    </row>
    <row r="195" spans="1:10" s="49" customFormat="1" ht="21.75" customHeight="1">
      <c r="A195" s="139"/>
      <c r="B195" s="67"/>
      <c r="C195" s="88">
        <v>4360</v>
      </c>
      <c r="D195" s="80">
        <f>360+700+500+690+1300</f>
        <v>3550</v>
      </c>
      <c r="E195" s="80"/>
      <c r="F195" s="80"/>
      <c r="G195" s="80"/>
      <c r="H195" s="48"/>
      <c r="I195" s="50"/>
      <c r="J195" s="50"/>
    </row>
    <row r="196" spans="1:10" s="49" customFormat="1" ht="21.75" customHeight="1">
      <c r="A196" s="139"/>
      <c r="B196" s="67"/>
      <c r="C196" s="46">
        <v>4390</v>
      </c>
      <c r="D196" s="47">
        <f>200+2909+4000+500</f>
        <v>7609</v>
      </c>
      <c r="E196" s="47"/>
      <c r="F196" s="47"/>
      <c r="G196" s="47"/>
      <c r="H196" s="48"/>
      <c r="I196" s="50"/>
      <c r="J196" s="50"/>
    </row>
    <row r="197" spans="1:10" s="49" customFormat="1" ht="21.75" customHeight="1">
      <c r="A197" s="139"/>
      <c r="B197" s="67"/>
      <c r="C197" s="46">
        <v>4410</v>
      </c>
      <c r="D197" s="47">
        <f>300+300+481</f>
        <v>1081</v>
      </c>
      <c r="E197" s="47"/>
      <c r="F197" s="47"/>
      <c r="G197" s="47"/>
      <c r="H197" s="48"/>
      <c r="I197" s="50"/>
      <c r="J197" s="50"/>
    </row>
    <row r="198" spans="1:10" s="49" customFormat="1" ht="21.75" customHeight="1">
      <c r="A198" s="139"/>
      <c r="B198" s="67"/>
      <c r="C198" s="46">
        <v>4440</v>
      </c>
      <c r="D198" s="47">
        <f>5700+1000+4000+16227-4557</f>
        <v>22370</v>
      </c>
      <c r="E198" s="47"/>
      <c r="F198" s="47"/>
      <c r="G198" s="47"/>
      <c r="H198" s="48"/>
      <c r="I198" s="50"/>
      <c r="J198" s="50"/>
    </row>
    <row r="199" spans="1:10" s="49" customFormat="1" ht="21.75" customHeight="1">
      <c r="A199" s="139"/>
      <c r="B199" s="67"/>
      <c r="C199" s="88">
        <v>4520</v>
      </c>
      <c r="D199" s="80">
        <f>800</f>
        <v>800</v>
      </c>
      <c r="E199" s="80"/>
      <c r="F199" s="80"/>
      <c r="G199" s="80"/>
      <c r="H199" s="48"/>
      <c r="I199" s="50"/>
      <c r="J199" s="50"/>
    </row>
    <row r="200" spans="1:10" s="49" customFormat="1" ht="21.75" customHeight="1">
      <c r="A200" s="139"/>
      <c r="B200" s="67"/>
      <c r="C200" s="46">
        <v>4700</v>
      </c>
      <c r="D200" s="47"/>
      <c r="E200" s="47"/>
      <c r="F200" s="47">
        <f>500+1000-1253</f>
        <v>247</v>
      </c>
      <c r="G200" s="47"/>
      <c r="H200" s="48"/>
      <c r="I200" s="50"/>
      <c r="J200" s="50"/>
    </row>
    <row r="201" spans="1:10" s="49" customFormat="1" ht="21.75" customHeight="1">
      <c r="A201" s="139"/>
      <c r="B201" s="81" t="s">
        <v>58</v>
      </c>
      <c r="C201" s="141"/>
      <c r="D201" s="80">
        <f>SUM(D202:D204)</f>
        <v>4468</v>
      </c>
      <c r="E201" s="80">
        <f>SUM(E202:E204)</f>
        <v>0</v>
      </c>
      <c r="F201" s="80">
        <f>SUM(F202:F204)</f>
        <v>4468</v>
      </c>
      <c r="G201" s="80">
        <f>SUM(G202:G204)</f>
        <v>0</v>
      </c>
      <c r="H201" s="48"/>
      <c r="I201" s="50"/>
      <c r="J201" s="50"/>
    </row>
    <row r="202" spans="1:10" s="49" customFormat="1" ht="21.75" customHeight="1">
      <c r="A202" s="139"/>
      <c r="B202" s="67"/>
      <c r="C202" s="46">
        <v>4300</v>
      </c>
      <c r="D202" s="47">
        <f>1200+1300+800</f>
        <v>3300</v>
      </c>
      <c r="E202" s="47"/>
      <c r="F202" s="47"/>
      <c r="G202" s="47"/>
      <c r="H202" s="48"/>
      <c r="I202" s="50"/>
      <c r="J202" s="50"/>
    </row>
    <row r="203" spans="1:10" s="49" customFormat="1" ht="21.75" customHeight="1">
      <c r="A203" s="139"/>
      <c r="B203" s="67"/>
      <c r="C203" s="161">
        <v>4410</v>
      </c>
      <c r="D203" s="47">
        <f>300+500+368</f>
        <v>1168</v>
      </c>
      <c r="E203" s="47"/>
      <c r="F203" s="47"/>
      <c r="G203" s="47"/>
      <c r="H203" s="48"/>
      <c r="I203" s="50"/>
      <c r="J203" s="50"/>
    </row>
    <row r="204" spans="1:10" s="49" customFormat="1" ht="21.75" customHeight="1">
      <c r="A204" s="139"/>
      <c r="B204" s="92"/>
      <c r="C204" s="161">
        <v>4700</v>
      </c>
      <c r="D204" s="47"/>
      <c r="E204" s="47"/>
      <c r="F204" s="47">
        <f>300+1200+500+368+1300+800</f>
        <v>4468</v>
      </c>
      <c r="G204" s="47"/>
      <c r="H204" s="48"/>
      <c r="I204" s="50"/>
      <c r="J204" s="50"/>
    </row>
    <row r="205" spans="1:10" s="49" customFormat="1" ht="21.75" customHeight="1">
      <c r="A205" s="139"/>
      <c r="B205" s="92" t="s">
        <v>106</v>
      </c>
      <c r="C205" s="161"/>
      <c r="D205" s="47">
        <f>SUM(D206:D209)</f>
        <v>6783</v>
      </c>
      <c r="E205" s="47">
        <f>SUM(E206:E209)</f>
        <v>0</v>
      </c>
      <c r="F205" s="47">
        <f>SUM(F206:F209)</f>
        <v>783</v>
      </c>
      <c r="G205" s="47">
        <f>SUM(G206:G209)</f>
        <v>0</v>
      </c>
      <c r="H205" s="48"/>
      <c r="I205" s="50"/>
      <c r="J205" s="50"/>
    </row>
    <row r="206" spans="1:10" s="49" customFormat="1" ht="21.75" customHeight="1">
      <c r="A206" s="139"/>
      <c r="B206" s="62"/>
      <c r="C206" s="161">
        <v>4280</v>
      </c>
      <c r="D206" s="47">
        <f>183</f>
        <v>183</v>
      </c>
      <c r="E206" s="47"/>
      <c r="F206" s="47"/>
      <c r="G206" s="47"/>
      <c r="H206" s="48"/>
      <c r="I206" s="50"/>
      <c r="J206" s="50"/>
    </row>
    <row r="207" spans="1:10" s="49" customFormat="1" ht="21.75" customHeight="1">
      <c r="A207" s="139"/>
      <c r="B207" s="67"/>
      <c r="C207" s="161">
        <v>4300</v>
      </c>
      <c r="D207" s="47">
        <f>600+6000</f>
        <v>6600</v>
      </c>
      <c r="E207" s="47"/>
      <c r="F207" s="47"/>
      <c r="G207" s="47"/>
      <c r="H207" s="48"/>
      <c r="I207" s="50"/>
      <c r="J207" s="50"/>
    </row>
    <row r="208" spans="1:10" s="49" customFormat="1" ht="21.75" customHeight="1">
      <c r="A208" s="139"/>
      <c r="B208" s="67"/>
      <c r="C208" s="161">
        <v>4390</v>
      </c>
      <c r="D208" s="47"/>
      <c r="E208" s="47"/>
      <c r="F208" s="47">
        <f>600</f>
        <v>600</v>
      </c>
      <c r="G208" s="47"/>
      <c r="H208" s="48"/>
      <c r="I208" s="50"/>
      <c r="J208" s="50"/>
    </row>
    <row r="209" spans="1:10" s="49" customFormat="1" ht="21.75" customHeight="1">
      <c r="A209" s="139"/>
      <c r="B209" s="92"/>
      <c r="C209" s="161">
        <v>4440</v>
      </c>
      <c r="D209" s="47"/>
      <c r="E209" s="47"/>
      <c r="F209" s="47">
        <f>183</f>
        <v>183</v>
      </c>
      <c r="G209" s="47"/>
      <c r="H209" s="48"/>
      <c r="I209" s="50"/>
      <c r="J209" s="50"/>
    </row>
    <row r="210" spans="1:10" s="49" customFormat="1" ht="21.75" customHeight="1">
      <c r="A210" s="139"/>
      <c r="B210" s="92" t="s">
        <v>62</v>
      </c>
      <c r="C210" s="46"/>
      <c r="D210" s="47">
        <f>SUM(D211:D216)</f>
        <v>1600</v>
      </c>
      <c r="E210" s="47">
        <f>SUM(E211:E216)</f>
        <v>0</v>
      </c>
      <c r="F210" s="47">
        <f>SUM(F211:F216)</f>
        <v>20594</v>
      </c>
      <c r="G210" s="47">
        <f>SUM(G211:G216)</f>
        <v>0</v>
      </c>
      <c r="H210" s="48"/>
      <c r="I210" s="50"/>
      <c r="J210" s="50"/>
    </row>
    <row r="211" spans="1:10" s="49" customFormat="1" ht="21.75" customHeight="1">
      <c r="A211" s="139"/>
      <c r="B211" s="67"/>
      <c r="C211" s="88">
        <v>4010</v>
      </c>
      <c r="D211" s="80"/>
      <c r="E211" s="80"/>
      <c r="F211" s="80">
        <f>11800+4004-12767</f>
        <v>3037</v>
      </c>
      <c r="G211" s="80"/>
      <c r="H211" s="48"/>
      <c r="I211" s="50"/>
      <c r="J211" s="50"/>
    </row>
    <row r="212" spans="1:10" s="49" customFormat="1" ht="21.75" customHeight="1">
      <c r="A212" s="139"/>
      <c r="B212" s="67"/>
      <c r="C212" s="88">
        <v>4110</v>
      </c>
      <c r="D212" s="80"/>
      <c r="E212" s="80"/>
      <c r="F212" s="80">
        <f>2100+692+11000</f>
        <v>13792</v>
      </c>
      <c r="G212" s="80"/>
      <c r="H212" s="48"/>
      <c r="I212" s="50"/>
      <c r="J212" s="50"/>
    </row>
    <row r="213" spans="1:10" s="49" customFormat="1" ht="21.75" customHeight="1">
      <c r="A213" s="139"/>
      <c r="B213" s="67"/>
      <c r="C213" s="162">
        <v>4120</v>
      </c>
      <c r="D213" s="80"/>
      <c r="E213" s="80"/>
      <c r="F213" s="80">
        <f>300+98+1500</f>
        <v>1898</v>
      </c>
      <c r="G213" s="80"/>
      <c r="H213" s="48"/>
      <c r="I213" s="50"/>
      <c r="J213" s="50"/>
    </row>
    <row r="214" spans="1:10" s="49" customFormat="1" ht="21.75" customHeight="1">
      <c r="A214" s="139"/>
      <c r="B214" s="67"/>
      <c r="C214" s="163">
        <v>4210</v>
      </c>
      <c r="D214" s="80"/>
      <c r="E214" s="80"/>
      <c r="F214" s="80">
        <f>1600</f>
        <v>1600</v>
      </c>
      <c r="G214" s="80"/>
      <c r="H214" s="48"/>
      <c r="I214" s="50"/>
      <c r="J214" s="50"/>
    </row>
    <row r="215" spans="1:10" s="49" customFormat="1" ht="21.75" customHeight="1">
      <c r="A215" s="139"/>
      <c r="B215" s="67"/>
      <c r="C215" s="163">
        <v>4240</v>
      </c>
      <c r="D215" s="80">
        <f>1600</f>
        <v>1600</v>
      </c>
      <c r="E215" s="80"/>
      <c r="F215" s="80"/>
      <c r="G215" s="80"/>
      <c r="H215" s="48"/>
      <c r="I215" s="50"/>
      <c r="J215" s="50"/>
    </row>
    <row r="216" spans="1:10" s="49" customFormat="1" ht="21.75" customHeight="1">
      <c r="A216" s="139"/>
      <c r="B216" s="92"/>
      <c r="C216" s="163">
        <v>4440</v>
      </c>
      <c r="D216" s="80"/>
      <c r="E216" s="80"/>
      <c r="F216" s="80">
        <f>267</f>
        <v>267</v>
      </c>
      <c r="G216" s="80"/>
      <c r="H216" s="48"/>
      <c r="I216" s="50"/>
      <c r="J216" s="50"/>
    </row>
    <row r="217" spans="1:10" s="49" customFormat="1" ht="21.75" customHeight="1">
      <c r="A217" s="139"/>
      <c r="B217" s="92" t="s">
        <v>137</v>
      </c>
      <c r="C217" s="161"/>
      <c r="D217" s="47">
        <f>SUM(D218:D225)</f>
        <v>58483</v>
      </c>
      <c r="E217" s="47">
        <f>SUM(E218:E225)</f>
        <v>0</v>
      </c>
      <c r="F217" s="47">
        <f>SUM(F218:F225)</f>
        <v>158483</v>
      </c>
      <c r="G217" s="47">
        <f>SUM(G218:G225)</f>
        <v>0</v>
      </c>
      <c r="H217" s="48"/>
      <c r="I217" s="50"/>
      <c r="J217" s="50"/>
    </row>
    <row r="218" spans="1:10" s="49" customFormat="1" ht="21.75" customHeight="1">
      <c r="A218" s="139"/>
      <c r="B218" s="62"/>
      <c r="C218" s="161">
        <v>4010</v>
      </c>
      <c r="D218" s="47"/>
      <c r="E218" s="47"/>
      <c r="F218" s="47">
        <f>90000+19753</f>
        <v>109753</v>
      </c>
      <c r="G218" s="47"/>
      <c r="H218" s="48"/>
      <c r="I218" s="50"/>
      <c r="J218" s="50"/>
    </row>
    <row r="219" spans="1:10" s="49" customFormat="1" ht="21.75" customHeight="1">
      <c r="A219" s="139"/>
      <c r="B219" s="67"/>
      <c r="C219" s="161">
        <v>4040</v>
      </c>
      <c r="D219" s="47">
        <f>24947+20853</f>
        <v>45800</v>
      </c>
      <c r="E219" s="47"/>
      <c r="F219" s="47"/>
      <c r="G219" s="47"/>
      <c r="H219" s="48"/>
      <c r="I219" s="50"/>
      <c r="J219" s="50"/>
    </row>
    <row r="220" spans="1:10" s="49" customFormat="1" ht="21.75" customHeight="1">
      <c r="A220" s="139"/>
      <c r="B220" s="67"/>
      <c r="C220" s="161">
        <v>4110</v>
      </c>
      <c r="D220" s="47"/>
      <c r="E220" s="47"/>
      <c r="F220" s="47">
        <f>24947+10000+10000+1100</f>
        <v>46047</v>
      </c>
      <c r="G220" s="47"/>
      <c r="H220" s="48"/>
      <c r="I220" s="50"/>
      <c r="J220" s="50"/>
    </row>
    <row r="221" spans="1:10" s="49" customFormat="1" ht="21.75" customHeight="1">
      <c r="A221" s="139"/>
      <c r="B221" s="67"/>
      <c r="C221" s="161">
        <v>4120</v>
      </c>
      <c r="D221" s="47"/>
      <c r="E221" s="47"/>
      <c r="F221" s="47">
        <f>2500</f>
        <v>2500</v>
      </c>
      <c r="G221" s="47"/>
      <c r="H221" s="48"/>
      <c r="I221" s="50"/>
      <c r="J221" s="50"/>
    </row>
    <row r="222" spans="1:10" s="49" customFormat="1" ht="21.75" customHeight="1">
      <c r="A222" s="139"/>
      <c r="B222" s="67"/>
      <c r="C222" s="161">
        <v>4210</v>
      </c>
      <c r="D222" s="47">
        <f>10000</f>
        <v>10000</v>
      </c>
      <c r="E222" s="47"/>
      <c r="F222" s="47"/>
      <c r="G222" s="47"/>
      <c r="H222" s="48"/>
      <c r="I222" s="50"/>
      <c r="J222" s="50"/>
    </row>
    <row r="223" spans="1:10" s="49" customFormat="1" ht="21.75" customHeight="1">
      <c r="A223" s="139"/>
      <c r="B223" s="67"/>
      <c r="C223" s="161">
        <v>4270</v>
      </c>
      <c r="D223" s="47">
        <f>2500</f>
        <v>2500</v>
      </c>
      <c r="E223" s="47"/>
      <c r="F223" s="47"/>
      <c r="G223" s="47"/>
      <c r="H223" s="48"/>
      <c r="I223" s="50"/>
      <c r="J223" s="50"/>
    </row>
    <row r="224" spans="1:10" s="49" customFormat="1" ht="21.75" customHeight="1">
      <c r="A224" s="139"/>
      <c r="B224" s="67"/>
      <c r="C224" s="162">
        <v>4280</v>
      </c>
      <c r="D224" s="80">
        <f>183</f>
        <v>183</v>
      </c>
      <c r="E224" s="80"/>
      <c r="F224" s="80"/>
      <c r="G224" s="80"/>
      <c r="H224" s="48"/>
      <c r="I224" s="50"/>
      <c r="J224" s="50"/>
    </row>
    <row r="225" spans="1:10" s="49" customFormat="1" ht="21.75" customHeight="1">
      <c r="A225" s="139"/>
      <c r="B225" s="92"/>
      <c r="C225" s="161">
        <v>4440</v>
      </c>
      <c r="D225" s="47"/>
      <c r="E225" s="47"/>
      <c r="F225" s="47">
        <f>183</f>
        <v>183</v>
      </c>
      <c r="G225" s="47"/>
      <c r="H225" s="48"/>
      <c r="I225" s="50"/>
      <c r="J225" s="50"/>
    </row>
    <row r="226" spans="1:10" s="49" customFormat="1" ht="21.75" customHeight="1">
      <c r="A226" s="139"/>
      <c r="B226" s="81" t="s">
        <v>108</v>
      </c>
      <c r="C226" s="141"/>
      <c r="D226" s="80">
        <f>SUM(D227:D229)</f>
        <v>0</v>
      </c>
      <c r="E226" s="80">
        <f>SUM(E227:E229)</f>
        <v>0</v>
      </c>
      <c r="F226" s="80">
        <f>SUM(F227:F229)</f>
        <v>3839.65</v>
      </c>
      <c r="G226" s="80">
        <f>SUM(G227:G229)</f>
        <v>3839.65</v>
      </c>
      <c r="H226" s="48"/>
      <c r="I226" s="50"/>
      <c r="J226" s="50"/>
    </row>
    <row r="227" spans="1:10" s="49" customFormat="1" ht="21.75" customHeight="1">
      <c r="A227" s="139"/>
      <c r="B227" s="67"/>
      <c r="C227" s="46">
        <v>2830</v>
      </c>
      <c r="D227" s="47"/>
      <c r="E227" s="47"/>
      <c r="F227" s="47">
        <v>24.75</v>
      </c>
      <c r="G227" s="47">
        <v>24.75</v>
      </c>
      <c r="H227" s="48"/>
      <c r="I227" s="50"/>
      <c r="J227" s="50"/>
    </row>
    <row r="228" spans="1:10" s="49" customFormat="1" ht="21.75" customHeight="1">
      <c r="A228" s="139"/>
      <c r="B228" s="67"/>
      <c r="C228" s="161">
        <v>4210</v>
      </c>
      <c r="D228" s="47"/>
      <c r="E228" s="47"/>
      <c r="F228" s="47">
        <v>38.05</v>
      </c>
      <c r="G228" s="47">
        <v>38.05</v>
      </c>
      <c r="H228" s="48"/>
      <c r="I228" s="50"/>
      <c r="J228" s="50"/>
    </row>
    <row r="229" spans="1:10" s="49" customFormat="1" ht="21.75" customHeight="1">
      <c r="A229" s="139"/>
      <c r="B229" s="67"/>
      <c r="C229" s="161">
        <v>4240</v>
      </c>
      <c r="D229" s="47"/>
      <c r="E229" s="47"/>
      <c r="F229" s="47">
        <v>3776.85</v>
      </c>
      <c r="G229" s="47">
        <v>3776.85</v>
      </c>
      <c r="H229" s="48"/>
      <c r="I229" s="50"/>
      <c r="J229" s="50"/>
    </row>
    <row r="230" spans="1:8" ht="21.75" customHeight="1">
      <c r="A230" s="56" t="s">
        <v>114</v>
      </c>
      <c r="B230" s="56" t="s">
        <v>115</v>
      </c>
      <c r="C230" s="39"/>
      <c r="D230" s="42">
        <f>SUM(D231:D238)</f>
        <v>11567.630000000001</v>
      </c>
      <c r="E230" s="42">
        <f>SUM(E231:E238)</f>
        <v>0</v>
      </c>
      <c r="F230" s="42">
        <f>SUM(F231:F238)</f>
        <v>11567.630000000001</v>
      </c>
      <c r="G230" s="42">
        <f>SUM(G231:G238)</f>
        <v>0</v>
      </c>
      <c r="H230" s="31"/>
    </row>
    <row r="231" spans="1:8" ht="21.75" customHeight="1">
      <c r="A231" s="140"/>
      <c r="B231" s="140"/>
      <c r="C231" s="88">
        <v>4040</v>
      </c>
      <c r="D231" s="80">
        <v>201</v>
      </c>
      <c r="E231" s="80"/>
      <c r="F231" s="80"/>
      <c r="G231" s="80"/>
      <c r="H231" s="31"/>
    </row>
    <row r="232" spans="1:8" ht="21.75" customHeight="1">
      <c r="A232" s="154"/>
      <c r="B232" s="154"/>
      <c r="C232" s="88">
        <v>4210</v>
      </c>
      <c r="D232" s="80"/>
      <c r="E232" s="80"/>
      <c r="F232" s="219">
        <f>9536+1000</f>
        <v>10536</v>
      </c>
      <c r="G232" s="80"/>
      <c r="H232" s="31"/>
    </row>
    <row r="233" spans="1:8" ht="21.75" customHeight="1">
      <c r="A233" s="67"/>
      <c r="B233" s="67"/>
      <c r="C233" s="88">
        <v>4240</v>
      </c>
      <c r="D233" s="80"/>
      <c r="E233" s="80"/>
      <c r="F233" s="80">
        <f>1031.63</f>
        <v>1031.63</v>
      </c>
      <c r="G233" s="80"/>
      <c r="H233" s="31"/>
    </row>
    <row r="234" spans="1:8" ht="21.75" customHeight="1">
      <c r="A234" s="67"/>
      <c r="B234" s="67"/>
      <c r="C234" s="88">
        <v>4260</v>
      </c>
      <c r="D234" s="80">
        <f>2000</f>
        <v>2000</v>
      </c>
      <c r="E234" s="80"/>
      <c r="F234" s="80"/>
      <c r="G234" s="80"/>
      <c r="H234" s="31"/>
    </row>
    <row r="235" spans="1:8" ht="21.75" customHeight="1">
      <c r="A235" s="67"/>
      <c r="B235" s="67"/>
      <c r="C235" s="88">
        <v>4270</v>
      </c>
      <c r="D235" s="80">
        <f>900</f>
        <v>900</v>
      </c>
      <c r="E235" s="80"/>
      <c r="F235" s="80"/>
      <c r="G235" s="80"/>
      <c r="H235" s="31"/>
    </row>
    <row r="236" spans="1:8" ht="21.75" customHeight="1">
      <c r="A236" s="154"/>
      <c r="B236" s="154"/>
      <c r="C236" s="88">
        <v>4300</v>
      </c>
      <c r="D236" s="80">
        <f>2031.63+1800</f>
        <v>3831.63</v>
      </c>
      <c r="E236" s="80"/>
      <c r="F236" s="80"/>
      <c r="G236" s="80"/>
      <c r="H236" s="31"/>
    </row>
    <row r="237" spans="1:8" ht="21.75" customHeight="1">
      <c r="A237" s="154"/>
      <c r="B237" s="154"/>
      <c r="C237" s="88">
        <v>4360</v>
      </c>
      <c r="D237" s="80">
        <f>4250</f>
        <v>4250</v>
      </c>
      <c r="E237" s="80"/>
      <c r="F237" s="80"/>
      <c r="G237" s="80"/>
      <c r="H237" s="31"/>
    </row>
    <row r="238" spans="1:8" ht="21.75" customHeight="1">
      <c r="A238" s="160"/>
      <c r="B238" s="160"/>
      <c r="C238" s="88">
        <v>4480</v>
      </c>
      <c r="D238" s="80">
        <f>385</f>
        <v>385</v>
      </c>
      <c r="E238" s="80"/>
      <c r="F238" s="80"/>
      <c r="G238" s="80"/>
      <c r="H238" s="31"/>
    </row>
    <row r="239" spans="1:8" ht="21.75" customHeight="1">
      <c r="A239" s="56" t="s">
        <v>39</v>
      </c>
      <c r="B239" s="56"/>
      <c r="C239" s="39"/>
      <c r="D239" s="42">
        <f>D240+D245+D246+D247</f>
        <v>2500</v>
      </c>
      <c r="E239" s="42">
        <f>E240+E245+E246+E247</f>
        <v>0</v>
      </c>
      <c r="F239" s="42">
        <f>F240+F245+F246+F247</f>
        <v>567500</v>
      </c>
      <c r="G239" s="42">
        <f>G240+G245+G246+G247</f>
        <v>0</v>
      </c>
      <c r="H239" s="31"/>
    </row>
    <row r="240" spans="1:8" ht="21.75" customHeight="1">
      <c r="A240" s="140"/>
      <c r="B240" s="81" t="s">
        <v>154</v>
      </c>
      <c r="C240" s="88"/>
      <c r="D240" s="80">
        <f>SUM(D241:D244)</f>
        <v>2500</v>
      </c>
      <c r="E240" s="80">
        <f>SUM(E241:E244)</f>
        <v>0</v>
      </c>
      <c r="F240" s="80">
        <f>SUM(F241:F244)</f>
        <v>2500</v>
      </c>
      <c r="G240" s="80">
        <f>SUM(G241:G244)</f>
        <v>0</v>
      </c>
      <c r="H240" s="31"/>
    </row>
    <row r="241" spans="1:8" ht="21.75" customHeight="1">
      <c r="A241" s="154"/>
      <c r="B241" s="62"/>
      <c r="C241" s="88">
        <v>4210</v>
      </c>
      <c r="D241" s="80"/>
      <c r="E241" s="80"/>
      <c r="F241" s="80">
        <f>2500</f>
        <v>2500</v>
      </c>
      <c r="G241" s="80"/>
      <c r="H241" s="31"/>
    </row>
    <row r="242" spans="1:8" ht="21.75" customHeight="1">
      <c r="A242" s="154"/>
      <c r="B242" s="67"/>
      <c r="C242" s="88">
        <v>4260</v>
      </c>
      <c r="D242" s="80">
        <f>1500</f>
        <v>1500</v>
      </c>
      <c r="E242" s="80"/>
      <c r="F242" s="80"/>
      <c r="G242" s="80"/>
      <c r="H242" s="31"/>
    </row>
    <row r="243" spans="1:8" ht="21.75" customHeight="1">
      <c r="A243" s="154"/>
      <c r="B243" s="67"/>
      <c r="C243" s="88">
        <v>4270</v>
      </c>
      <c r="D243" s="80">
        <f>500</f>
        <v>500</v>
      </c>
      <c r="E243" s="80"/>
      <c r="F243" s="80"/>
      <c r="G243" s="80"/>
      <c r="H243" s="31"/>
    </row>
    <row r="244" spans="1:8" ht="21.75" customHeight="1">
      <c r="A244" s="154"/>
      <c r="B244" s="92"/>
      <c r="C244" s="88">
        <v>4300</v>
      </c>
      <c r="D244" s="80">
        <f>500</f>
        <v>500</v>
      </c>
      <c r="E244" s="80"/>
      <c r="F244" s="80"/>
      <c r="G244" s="80"/>
      <c r="H244" s="31"/>
    </row>
    <row r="245" spans="1:8" ht="21.75" customHeight="1">
      <c r="A245" s="154"/>
      <c r="B245" s="92" t="s">
        <v>149</v>
      </c>
      <c r="C245" s="88">
        <v>4130</v>
      </c>
      <c r="D245" s="80"/>
      <c r="E245" s="80"/>
      <c r="F245" s="80">
        <v>12000</v>
      </c>
      <c r="G245" s="80"/>
      <c r="H245" s="31"/>
    </row>
    <row r="246" spans="1:8" ht="21.75" customHeight="1">
      <c r="A246" s="154"/>
      <c r="B246" s="92" t="s">
        <v>150</v>
      </c>
      <c r="C246" s="88">
        <v>3110</v>
      </c>
      <c r="D246" s="80"/>
      <c r="E246" s="80"/>
      <c r="F246" s="80">
        <f>446000</f>
        <v>446000</v>
      </c>
      <c r="G246" s="80"/>
      <c r="H246" s="31"/>
    </row>
    <row r="247" spans="1:8" ht="21.75" customHeight="1">
      <c r="A247" s="160"/>
      <c r="B247" s="81" t="s">
        <v>86</v>
      </c>
      <c r="C247" s="88">
        <v>4010</v>
      </c>
      <c r="D247" s="80"/>
      <c r="E247" s="80"/>
      <c r="F247" s="80">
        <v>107000</v>
      </c>
      <c r="G247" s="80"/>
      <c r="H247" s="31"/>
    </row>
    <row r="248" spans="1:8" ht="21.75" customHeight="1">
      <c r="A248" s="56" t="s">
        <v>97</v>
      </c>
      <c r="B248" s="56" t="s">
        <v>98</v>
      </c>
      <c r="C248" s="39"/>
      <c r="D248" s="42">
        <f>SUM(D249:D251)</f>
        <v>2038.6399999999999</v>
      </c>
      <c r="E248" s="42">
        <f>SUM(E249:E251)</f>
        <v>0</v>
      </c>
      <c r="F248" s="42">
        <f>SUM(F249:F251)</f>
        <v>2038.64</v>
      </c>
      <c r="G248" s="42">
        <f>SUM(G249:G251)</f>
        <v>0</v>
      </c>
      <c r="H248" s="31"/>
    </row>
    <row r="249" spans="1:8" ht="21.75" customHeight="1">
      <c r="A249" s="154"/>
      <c r="B249" s="62"/>
      <c r="C249" s="141">
        <v>4117</v>
      </c>
      <c r="D249" s="142">
        <f>1400</f>
        <v>1400</v>
      </c>
      <c r="E249" s="142"/>
      <c r="F249" s="142"/>
      <c r="G249" s="142"/>
      <c r="H249" s="31"/>
    </row>
    <row r="250" spans="1:8" ht="21.75" customHeight="1">
      <c r="A250" s="154"/>
      <c r="B250" s="67"/>
      <c r="C250" s="141">
        <v>4217</v>
      </c>
      <c r="D250" s="142">
        <f>638.64</f>
        <v>638.64</v>
      </c>
      <c r="E250" s="142"/>
      <c r="F250" s="142"/>
      <c r="G250" s="142"/>
      <c r="H250" s="31"/>
    </row>
    <row r="251" spans="1:8" ht="21.75" customHeight="1">
      <c r="A251" s="160"/>
      <c r="B251" s="92"/>
      <c r="C251" s="141">
        <v>4247</v>
      </c>
      <c r="D251" s="142"/>
      <c r="E251" s="142"/>
      <c r="F251" s="142">
        <f>2038.64</f>
        <v>2038.64</v>
      </c>
      <c r="G251" s="142"/>
      <c r="H251" s="31"/>
    </row>
    <row r="252" spans="1:8" ht="21.75" customHeight="1">
      <c r="A252" s="56" t="s">
        <v>57</v>
      </c>
      <c r="B252" s="56" t="s">
        <v>143</v>
      </c>
      <c r="C252" s="39">
        <v>3260</v>
      </c>
      <c r="D252" s="42"/>
      <c r="E252" s="42"/>
      <c r="F252" s="42">
        <v>4310</v>
      </c>
      <c r="G252" s="42"/>
      <c r="H252" s="31"/>
    </row>
    <row r="253" spans="1:8" ht="21.75" customHeight="1">
      <c r="A253" s="154" t="s">
        <v>71</v>
      </c>
      <c r="B253" s="154"/>
      <c r="C253" s="26"/>
      <c r="D253" s="34">
        <f>D254+D257+D265+D266+D270</f>
        <v>11515</v>
      </c>
      <c r="E253" s="34">
        <f>E254+E257+E265+E266+E270</f>
        <v>0</v>
      </c>
      <c r="F253" s="34">
        <f>F254+F257+F265+F266+F270</f>
        <v>4720631</v>
      </c>
      <c r="G253" s="34">
        <f>G254+G257+G265+G266+G270</f>
        <v>4616766</v>
      </c>
      <c r="H253" s="31"/>
    </row>
    <row r="254" spans="1:8" ht="21.75" customHeight="1">
      <c r="A254" s="140"/>
      <c r="B254" s="81" t="s">
        <v>96</v>
      </c>
      <c r="C254" s="88"/>
      <c r="D254" s="80">
        <f>SUM(D255:D256)</f>
        <v>1000</v>
      </c>
      <c r="E254" s="80">
        <f>SUM(E255:E256)</f>
        <v>0</v>
      </c>
      <c r="F254" s="80">
        <f>SUM(F255:F256)</f>
        <v>1000</v>
      </c>
      <c r="G254" s="80">
        <f>SUM(G255:G256)</f>
        <v>0</v>
      </c>
      <c r="H254" s="31"/>
    </row>
    <row r="255" spans="1:8" ht="21.75" customHeight="1">
      <c r="A255" s="154"/>
      <c r="B255" s="62"/>
      <c r="C255" s="141">
        <v>2910</v>
      </c>
      <c r="D255" s="142">
        <f>1000</f>
        <v>1000</v>
      </c>
      <c r="E255" s="142"/>
      <c r="F255" s="142"/>
      <c r="G255" s="142"/>
      <c r="H255" s="31"/>
    </row>
    <row r="256" spans="1:8" ht="21.75" customHeight="1">
      <c r="A256" s="154"/>
      <c r="B256" s="92"/>
      <c r="C256" s="141">
        <v>4580</v>
      </c>
      <c r="D256" s="142"/>
      <c r="E256" s="142"/>
      <c r="F256" s="142">
        <f>1000</f>
        <v>1000</v>
      </c>
      <c r="G256" s="142"/>
      <c r="H256" s="31"/>
    </row>
    <row r="257" spans="1:8" ht="21.75" customHeight="1">
      <c r="A257" s="154"/>
      <c r="B257" s="81" t="s">
        <v>151</v>
      </c>
      <c r="C257" s="141"/>
      <c r="D257" s="142">
        <f>SUM(D258:D264)</f>
        <v>0</v>
      </c>
      <c r="E257" s="142">
        <f>SUM(E258:E264)</f>
        <v>0</v>
      </c>
      <c r="F257" s="142">
        <f>SUM(F258:F264)</f>
        <v>4626766</v>
      </c>
      <c r="G257" s="142">
        <f>SUM(G258:G264)</f>
        <v>4616766</v>
      </c>
      <c r="H257" s="31"/>
    </row>
    <row r="258" spans="1:8" ht="21.75" customHeight="1">
      <c r="A258" s="154"/>
      <c r="B258" s="67"/>
      <c r="C258" s="141">
        <v>3110</v>
      </c>
      <c r="D258" s="142"/>
      <c r="E258" s="142"/>
      <c r="F258" s="142">
        <f>4056383</f>
        <v>4056383</v>
      </c>
      <c r="G258" s="142">
        <f>4056383</f>
        <v>4056383</v>
      </c>
      <c r="H258" s="31"/>
    </row>
    <row r="259" spans="1:8" ht="21.75" customHeight="1">
      <c r="A259" s="154"/>
      <c r="B259" s="67"/>
      <c r="C259" s="141">
        <v>4010</v>
      </c>
      <c r="D259" s="142"/>
      <c r="E259" s="142"/>
      <c r="F259" s="142">
        <f>44000</f>
        <v>44000</v>
      </c>
      <c r="G259" s="142">
        <f>44000</f>
        <v>44000</v>
      </c>
      <c r="H259" s="31"/>
    </row>
    <row r="260" spans="1:8" ht="21.75" customHeight="1">
      <c r="A260" s="154"/>
      <c r="B260" s="67"/>
      <c r="C260" s="88">
        <v>4110</v>
      </c>
      <c r="D260" s="142"/>
      <c r="E260" s="142"/>
      <c r="F260" s="142">
        <f>435383</f>
        <v>435383</v>
      </c>
      <c r="G260" s="142">
        <f>435383</f>
        <v>435383</v>
      </c>
      <c r="H260" s="31"/>
    </row>
    <row r="261" spans="1:8" ht="21.75" customHeight="1">
      <c r="A261" s="154"/>
      <c r="B261" s="67"/>
      <c r="C261" s="141">
        <v>4210</v>
      </c>
      <c r="D261" s="142"/>
      <c r="E261" s="142"/>
      <c r="F261" s="142">
        <f>20000</f>
        <v>20000</v>
      </c>
      <c r="G261" s="142">
        <f>20000</f>
        <v>20000</v>
      </c>
      <c r="H261" s="31"/>
    </row>
    <row r="262" spans="1:8" ht="21.75" customHeight="1">
      <c r="A262" s="154"/>
      <c r="B262" s="67"/>
      <c r="C262" s="141">
        <v>4260</v>
      </c>
      <c r="D262" s="142"/>
      <c r="E262" s="142"/>
      <c r="F262" s="142">
        <f>20000</f>
        <v>20000</v>
      </c>
      <c r="G262" s="142">
        <f>20000</f>
        <v>20000</v>
      </c>
      <c r="H262" s="31"/>
    </row>
    <row r="263" spans="1:8" ht="21.75" customHeight="1">
      <c r="A263" s="154"/>
      <c r="B263" s="67"/>
      <c r="C263" s="141">
        <v>4270</v>
      </c>
      <c r="D263" s="142"/>
      <c r="E263" s="142"/>
      <c r="F263" s="142">
        <f>1000</f>
        <v>1000</v>
      </c>
      <c r="G263" s="142">
        <f>1000</f>
        <v>1000</v>
      </c>
      <c r="H263" s="31"/>
    </row>
    <row r="264" spans="1:8" ht="21.75" customHeight="1">
      <c r="A264" s="154"/>
      <c r="B264" s="67"/>
      <c r="C264" s="141">
        <v>4300</v>
      </c>
      <c r="D264" s="142"/>
      <c r="E264" s="142"/>
      <c r="F264" s="142">
        <f>10000+40000</f>
        <v>50000</v>
      </c>
      <c r="G264" s="142">
        <f>40000</f>
        <v>40000</v>
      </c>
      <c r="H264" s="31"/>
    </row>
    <row r="265" spans="1:8" ht="21.75" customHeight="1">
      <c r="A265" s="154"/>
      <c r="B265" s="81" t="s">
        <v>88</v>
      </c>
      <c r="C265" s="88">
        <v>4010</v>
      </c>
      <c r="D265" s="80"/>
      <c r="E265" s="80"/>
      <c r="F265" s="80">
        <v>92350</v>
      </c>
      <c r="G265" s="80"/>
      <c r="H265" s="31"/>
    </row>
    <row r="266" spans="1:8" ht="21.75" customHeight="1">
      <c r="A266" s="154"/>
      <c r="B266" s="81" t="s">
        <v>99</v>
      </c>
      <c r="C266" s="88"/>
      <c r="D266" s="80">
        <f>SUM(D267:D269)</f>
        <v>515</v>
      </c>
      <c r="E266" s="80">
        <f>SUM(E267:E269)</f>
        <v>0</v>
      </c>
      <c r="F266" s="80">
        <f>SUM(F267:F269)</f>
        <v>515</v>
      </c>
      <c r="G266" s="80">
        <f>SUM(G267:G269)</f>
        <v>0</v>
      </c>
      <c r="H266" s="31"/>
    </row>
    <row r="267" spans="1:8" ht="21.75" customHeight="1">
      <c r="A267" s="154"/>
      <c r="B267" s="67"/>
      <c r="C267" s="141">
        <v>4280</v>
      </c>
      <c r="D267" s="142"/>
      <c r="E267" s="142"/>
      <c r="F267" s="142">
        <v>515</v>
      </c>
      <c r="G267" s="142"/>
      <c r="H267" s="31"/>
    </row>
    <row r="268" spans="1:8" ht="21.75" customHeight="1">
      <c r="A268" s="154"/>
      <c r="B268" s="67"/>
      <c r="C268" s="141">
        <v>4410</v>
      </c>
      <c r="D268" s="142">
        <f>265</f>
        <v>265</v>
      </c>
      <c r="E268" s="142"/>
      <c r="F268" s="142"/>
      <c r="G268" s="142"/>
      <c r="H268" s="31"/>
    </row>
    <row r="269" spans="1:8" ht="21.75" customHeight="1">
      <c r="A269" s="154"/>
      <c r="B269" s="92"/>
      <c r="C269" s="141">
        <v>4430</v>
      </c>
      <c r="D269" s="142">
        <f>250</f>
        <v>250</v>
      </c>
      <c r="E269" s="142"/>
      <c r="F269" s="142"/>
      <c r="G269" s="142"/>
      <c r="H269" s="31"/>
    </row>
    <row r="270" spans="1:8" ht="21.75" customHeight="1">
      <c r="A270" s="154"/>
      <c r="B270" s="81" t="s">
        <v>145</v>
      </c>
      <c r="C270" s="141">
        <v>4330</v>
      </c>
      <c r="D270" s="142">
        <v>10000</v>
      </c>
      <c r="E270" s="142"/>
      <c r="F270" s="142"/>
      <c r="G270" s="142"/>
      <c r="H270" s="31"/>
    </row>
    <row r="271" spans="1:8" ht="21.75" customHeight="1">
      <c r="A271" s="56" t="s">
        <v>112</v>
      </c>
      <c r="B271" s="56"/>
      <c r="C271" s="39"/>
      <c r="D271" s="42">
        <f>D272+D275</f>
        <v>13220.94</v>
      </c>
      <c r="E271" s="42">
        <f>E272+E275</f>
        <v>0</v>
      </c>
      <c r="F271" s="42">
        <f>F272+F275</f>
        <v>13220.94</v>
      </c>
      <c r="G271" s="42">
        <f>G272+G275</f>
        <v>0</v>
      </c>
      <c r="H271" s="31"/>
    </row>
    <row r="272" spans="1:8" ht="21.75" customHeight="1">
      <c r="A272" s="154"/>
      <c r="B272" s="81" t="s">
        <v>113</v>
      </c>
      <c r="C272" s="88"/>
      <c r="D272" s="80">
        <f>SUM(D273:D274)</f>
        <v>220.94</v>
      </c>
      <c r="E272" s="80">
        <f>SUM(E273:E274)</f>
        <v>0</v>
      </c>
      <c r="F272" s="80">
        <f>SUM(F273:F274)</f>
        <v>220.94</v>
      </c>
      <c r="G272" s="80">
        <f>SUM(G273:G274)</f>
        <v>0</v>
      </c>
      <c r="H272" s="31"/>
    </row>
    <row r="273" spans="1:8" ht="21.75" customHeight="1">
      <c r="A273" s="154"/>
      <c r="B273" s="62"/>
      <c r="C273" s="141">
        <v>4120</v>
      </c>
      <c r="D273" s="142">
        <f>220.94</f>
        <v>220.94</v>
      </c>
      <c r="E273" s="142"/>
      <c r="F273" s="142"/>
      <c r="G273" s="142"/>
      <c r="H273" s="31"/>
    </row>
    <row r="274" spans="1:8" ht="21.75" customHeight="1">
      <c r="A274" s="154"/>
      <c r="B274" s="92"/>
      <c r="C274" s="141">
        <v>4440</v>
      </c>
      <c r="D274" s="142"/>
      <c r="E274" s="142"/>
      <c r="F274" s="142">
        <f>220.94</f>
        <v>220.94</v>
      </c>
      <c r="G274" s="142"/>
      <c r="H274" s="31"/>
    </row>
    <row r="275" spans="1:8" ht="21.75" customHeight="1">
      <c r="A275" s="154"/>
      <c r="B275" s="81" t="s">
        <v>161</v>
      </c>
      <c r="C275" s="88"/>
      <c r="D275" s="80">
        <f>SUM(D276:D277)</f>
        <v>13000</v>
      </c>
      <c r="E275" s="80">
        <f>SUM(E276:E277)</f>
        <v>0</v>
      </c>
      <c r="F275" s="80">
        <f>SUM(F276:F277)</f>
        <v>13000</v>
      </c>
      <c r="G275" s="80">
        <f>SUM(G276:G277)</f>
        <v>0</v>
      </c>
      <c r="H275" s="31"/>
    </row>
    <row r="276" spans="1:8" ht="21.75" customHeight="1">
      <c r="A276" s="154"/>
      <c r="B276" s="67"/>
      <c r="C276" s="141">
        <v>4270</v>
      </c>
      <c r="D276" s="142"/>
      <c r="E276" s="142"/>
      <c r="F276" s="142">
        <f>13000</f>
        <v>13000</v>
      </c>
      <c r="G276" s="142"/>
      <c r="H276" s="31"/>
    </row>
    <row r="277" spans="1:8" ht="21.75" customHeight="1">
      <c r="A277" s="154"/>
      <c r="B277" s="67"/>
      <c r="C277" s="141">
        <v>4300</v>
      </c>
      <c r="D277" s="142">
        <f>13000</f>
        <v>13000</v>
      </c>
      <c r="E277" s="142"/>
      <c r="F277" s="142"/>
      <c r="G277" s="142"/>
      <c r="H277" s="31"/>
    </row>
    <row r="278" spans="1:8" ht="21.75" customHeight="1">
      <c r="A278" s="56" t="s">
        <v>138</v>
      </c>
      <c r="B278" s="56"/>
      <c r="C278" s="39"/>
      <c r="D278" s="42">
        <f>D279+D291</f>
        <v>161228</v>
      </c>
      <c r="E278" s="42">
        <f>E279+E291</f>
        <v>0</v>
      </c>
      <c r="F278" s="42">
        <f>F279+F291</f>
        <v>161228</v>
      </c>
      <c r="G278" s="42">
        <f>G279+G291</f>
        <v>0</v>
      </c>
      <c r="H278" s="31"/>
    </row>
    <row r="279" spans="1:8" ht="21.75" customHeight="1">
      <c r="A279" s="154"/>
      <c r="B279" s="81" t="s">
        <v>139</v>
      </c>
      <c r="C279" s="88"/>
      <c r="D279" s="80">
        <f>SUM(D280:D290)</f>
        <v>160278</v>
      </c>
      <c r="E279" s="80">
        <f>SUM(E280:E290)</f>
        <v>0</v>
      </c>
      <c r="F279" s="80">
        <f>SUM(F280:F290)</f>
        <v>160278</v>
      </c>
      <c r="G279" s="80">
        <f>SUM(G280:G290)</f>
        <v>0</v>
      </c>
      <c r="H279" s="31"/>
    </row>
    <row r="280" spans="1:8" ht="21.75" customHeight="1">
      <c r="A280" s="154"/>
      <c r="B280" s="140"/>
      <c r="C280" s="88">
        <v>4010</v>
      </c>
      <c r="D280" s="142">
        <f>38000</f>
        <v>38000</v>
      </c>
      <c r="E280" s="142"/>
      <c r="F280" s="142"/>
      <c r="G280" s="142"/>
      <c r="H280" s="31"/>
    </row>
    <row r="281" spans="1:8" ht="21.75" customHeight="1">
      <c r="A281" s="154"/>
      <c r="B281" s="67"/>
      <c r="C281" s="88">
        <v>4120</v>
      </c>
      <c r="D281" s="142">
        <f>20000</f>
        <v>20000</v>
      </c>
      <c r="E281" s="142"/>
      <c r="F281" s="142"/>
      <c r="G281" s="142"/>
      <c r="H281" s="31"/>
    </row>
    <row r="282" spans="1:8" ht="21.75" customHeight="1">
      <c r="A282" s="154"/>
      <c r="B282" s="67"/>
      <c r="C282" s="88">
        <v>4170</v>
      </c>
      <c r="D282" s="142">
        <f>60000</f>
        <v>60000</v>
      </c>
      <c r="E282" s="142"/>
      <c r="F282" s="142"/>
      <c r="G282" s="142"/>
      <c r="H282" s="31"/>
    </row>
    <row r="283" spans="1:8" ht="21.75" customHeight="1">
      <c r="A283" s="154"/>
      <c r="B283" s="67"/>
      <c r="C283" s="88">
        <v>4260</v>
      </c>
      <c r="D283" s="142"/>
      <c r="E283" s="142"/>
      <c r="F283" s="142">
        <f>153000</f>
        <v>153000</v>
      </c>
      <c r="G283" s="142"/>
      <c r="H283" s="31"/>
    </row>
    <row r="284" spans="1:8" ht="21.75" customHeight="1">
      <c r="A284" s="154"/>
      <c r="B284" s="67"/>
      <c r="C284" s="88">
        <v>4300</v>
      </c>
      <c r="D284" s="142">
        <f>5500+1778</f>
        <v>7278</v>
      </c>
      <c r="E284" s="142"/>
      <c r="F284" s="142"/>
      <c r="G284" s="142"/>
      <c r="H284" s="31"/>
    </row>
    <row r="285" spans="1:8" ht="21.75" customHeight="1">
      <c r="A285" s="154"/>
      <c r="B285" s="67"/>
      <c r="C285" s="88">
        <v>4420</v>
      </c>
      <c r="D285" s="142"/>
      <c r="E285" s="142"/>
      <c r="F285" s="142">
        <f>500</f>
        <v>500</v>
      </c>
      <c r="G285" s="142"/>
      <c r="H285" s="31"/>
    </row>
    <row r="286" spans="1:8" ht="21.75" customHeight="1">
      <c r="A286" s="154"/>
      <c r="B286" s="67"/>
      <c r="C286" s="141">
        <v>4430</v>
      </c>
      <c r="D286" s="142">
        <f>3000</f>
        <v>3000</v>
      </c>
      <c r="E286" s="142"/>
      <c r="F286" s="142"/>
      <c r="G286" s="142"/>
      <c r="H286" s="31"/>
    </row>
    <row r="287" spans="1:8" ht="21.75" customHeight="1">
      <c r="A287" s="139"/>
      <c r="B287" s="67"/>
      <c r="C287" s="141">
        <v>4440</v>
      </c>
      <c r="D287" s="142"/>
      <c r="E287" s="142"/>
      <c r="F287" s="142">
        <f>1778</f>
        <v>1778</v>
      </c>
      <c r="G287" s="142"/>
      <c r="H287" s="31"/>
    </row>
    <row r="288" spans="1:8" ht="21.75" customHeight="1">
      <c r="A288" s="203"/>
      <c r="B288" s="204"/>
      <c r="C288" s="163">
        <v>4480</v>
      </c>
      <c r="D288" s="142">
        <f>16000</f>
        <v>16000</v>
      </c>
      <c r="E288" s="142"/>
      <c r="F288" s="142"/>
      <c r="G288" s="142"/>
      <c r="H288" s="31"/>
    </row>
    <row r="289" spans="1:8" ht="21.75" customHeight="1">
      <c r="A289" s="203"/>
      <c r="B289" s="204"/>
      <c r="C289" s="163">
        <v>4700</v>
      </c>
      <c r="D289" s="142"/>
      <c r="E289" s="142"/>
      <c r="F289" s="142">
        <f>5000</f>
        <v>5000</v>
      </c>
      <c r="G289" s="142"/>
      <c r="H289" s="31"/>
    </row>
    <row r="290" spans="1:8" ht="21.75" customHeight="1">
      <c r="A290" s="67"/>
      <c r="B290" s="183"/>
      <c r="C290" s="163">
        <v>6060</v>
      </c>
      <c r="D290" s="142">
        <f>16000</f>
        <v>16000</v>
      </c>
      <c r="E290" s="142"/>
      <c r="F290" s="142"/>
      <c r="G290" s="142"/>
      <c r="H290" s="31"/>
    </row>
    <row r="291" spans="1:8" ht="21.75" customHeight="1">
      <c r="A291" s="154"/>
      <c r="B291" s="81" t="s">
        <v>148</v>
      </c>
      <c r="C291" s="88"/>
      <c r="D291" s="80">
        <f>SUM(D292:D294)</f>
        <v>950</v>
      </c>
      <c r="E291" s="80">
        <f>SUM(E292:E294)</f>
        <v>0</v>
      </c>
      <c r="F291" s="80">
        <f>SUM(F292:F294)</f>
        <v>950</v>
      </c>
      <c r="G291" s="80">
        <f>SUM(G292:G294)</f>
        <v>0</v>
      </c>
      <c r="H291" s="31"/>
    </row>
    <row r="292" spans="1:8" ht="21.75" customHeight="1">
      <c r="A292" s="154"/>
      <c r="B292" s="62"/>
      <c r="C292" s="141">
        <v>4190</v>
      </c>
      <c r="D292" s="142"/>
      <c r="E292" s="142"/>
      <c r="F292" s="142">
        <f>950</f>
        <v>950</v>
      </c>
      <c r="G292" s="142"/>
      <c r="H292" s="31"/>
    </row>
    <row r="293" spans="1:8" ht="21.75" customHeight="1">
      <c r="A293" s="154"/>
      <c r="B293" s="67"/>
      <c r="C293" s="141">
        <v>4210</v>
      </c>
      <c r="D293" s="142">
        <f>500</f>
        <v>500</v>
      </c>
      <c r="E293" s="142"/>
      <c r="F293" s="142"/>
      <c r="G293" s="142"/>
      <c r="H293" s="31"/>
    </row>
    <row r="294" spans="1:8" ht="21.75" customHeight="1">
      <c r="A294" s="154"/>
      <c r="B294" s="67"/>
      <c r="C294" s="141">
        <v>4300</v>
      </c>
      <c r="D294" s="142">
        <f>450</f>
        <v>450</v>
      </c>
      <c r="E294" s="142"/>
      <c r="F294" s="142"/>
      <c r="G294" s="142"/>
      <c r="H294" s="31"/>
    </row>
    <row r="295" spans="1:10" s="33" customFormat="1" ht="21" customHeight="1">
      <c r="A295" s="79" t="s">
        <v>14</v>
      </c>
      <c r="B295" s="57"/>
      <c r="C295" s="26"/>
      <c r="D295" s="34">
        <f>D140+D143+D162+D230+D239+D248+D252+D253+D271+D278</f>
        <v>540343.88</v>
      </c>
      <c r="E295" s="34">
        <f>E140+E143+E162+E230+E239+E248+E252+E253+E271+E278</f>
        <v>1107.14</v>
      </c>
      <c r="F295" s="34">
        <f>F140+F143+F162+F230+F239+F248+F252+F253+F271+F278</f>
        <v>5822609.53</v>
      </c>
      <c r="G295" s="34">
        <f>G140+G143+G162+G230+G239+G248+G252+G253+G271+G278</f>
        <v>4621712.79</v>
      </c>
      <c r="I295" s="38"/>
      <c r="J295" s="38"/>
    </row>
    <row r="296" spans="1:10" s="33" customFormat="1" ht="21" customHeight="1">
      <c r="A296" s="63"/>
      <c r="B296" s="64"/>
      <c r="C296" s="17"/>
      <c r="D296" s="37"/>
      <c r="E296" s="37"/>
      <c r="F296" s="37"/>
      <c r="G296" s="37"/>
      <c r="I296" s="38"/>
      <c r="J296" s="38"/>
    </row>
    <row r="297" spans="1:10" s="33" customFormat="1" ht="19.5" customHeight="1">
      <c r="A297" s="82" t="s">
        <v>16</v>
      </c>
      <c r="B297" s="77"/>
      <c r="C297" s="27"/>
      <c r="D297" s="28"/>
      <c r="E297" s="28"/>
      <c r="F297" s="28"/>
      <c r="G297" s="28"/>
      <c r="H297" s="29"/>
      <c r="I297" s="38"/>
      <c r="J297" s="38"/>
    </row>
    <row r="298" spans="1:10" s="33" customFormat="1" ht="19.5" customHeight="1">
      <c r="A298" s="82"/>
      <c r="B298" s="77"/>
      <c r="C298" s="27"/>
      <c r="D298" s="28"/>
      <c r="E298" s="28"/>
      <c r="F298" s="28"/>
      <c r="G298" s="28"/>
      <c r="H298" s="29"/>
      <c r="I298" s="38"/>
      <c r="J298" s="38"/>
    </row>
    <row r="299" spans="1:10" s="33" customFormat="1" ht="19.5" customHeight="1">
      <c r="A299" s="70" t="s">
        <v>78</v>
      </c>
      <c r="B299" s="70"/>
      <c r="C299" s="30"/>
      <c r="D299" s="3"/>
      <c r="E299" s="3"/>
      <c r="F299" s="3"/>
      <c r="G299" s="3"/>
      <c r="H299" s="31"/>
      <c r="I299" s="38"/>
      <c r="J299" s="38"/>
    </row>
    <row r="300" spans="1:10" s="33" customFormat="1" ht="19.5" customHeight="1">
      <c r="A300" s="70"/>
      <c r="B300" s="70"/>
      <c r="C300" s="30"/>
      <c r="D300" s="3"/>
      <c r="E300" s="3"/>
      <c r="F300" s="3"/>
      <c r="G300" s="3"/>
      <c r="H300" s="31"/>
      <c r="I300" s="38"/>
      <c r="J300" s="38"/>
    </row>
    <row r="301" spans="1:8" ht="18">
      <c r="A301" s="71"/>
      <c r="B301" s="71"/>
      <c r="C301" s="18"/>
      <c r="D301" s="19" t="s">
        <v>0</v>
      </c>
      <c r="E301" s="20"/>
      <c r="F301" s="19" t="s">
        <v>1</v>
      </c>
      <c r="G301" s="20"/>
      <c r="H301" s="31"/>
    </row>
    <row r="302" spans="1:8" ht="13.5" customHeight="1">
      <c r="A302" s="72"/>
      <c r="B302" s="72"/>
      <c r="C302" s="21"/>
      <c r="D302" s="22" t="s">
        <v>5</v>
      </c>
      <c r="E302" s="20" t="s">
        <v>4</v>
      </c>
      <c r="F302" s="22" t="s">
        <v>5</v>
      </c>
      <c r="G302" s="20" t="s">
        <v>4</v>
      </c>
      <c r="H302" s="31"/>
    </row>
    <row r="303" spans="1:8" ht="31.5" customHeight="1">
      <c r="A303" s="55" t="s">
        <v>7</v>
      </c>
      <c r="B303" s="55" t="s">
        <v>11</v>
      </c>
      <c r="C303" s="23" t="s">
        <v>8</v>
      </c>
      <c r="D303" s="24" t="s">
        <v>9</v>
      </c>
      <c r="E303" s="25" t="s">
        <v>10</v>
      </c>
      <c r="F303" s="24" t="s">
        <v>9</v>
      </c>
      <c r="G303" s="25" t="s">
        <v>10</v>
      </c>
      <c r="H303" s="31"/>
    </row>
    <row r="304" spans="1:8" ht="21.75" customHeight="1">
      <c r="A304" s="56" t="s">
        <v>158</v>
      </c>
      <c r="B304" s="56" t="s">
        <v>159</v>
      </c>
      <c r="C304" s="39"/>
      <c r="D304" s="42">
        <f>SUM(D305:D306)</f>
        <v>14000</v>
      </c>
      <c r="E304" s="42">
        <f>SUM(E305:E306)</f>
        <v>0</v>
      </c>
      <c r="F304" s="42">
        <f>SUM(F305:F306)</f>
        <v>14000</v>
      </c>
      <c r="G304" s="42">
        <f>SUM(G305:G306)</f>
        <v>0</v>
      </c>
      <c r="H304" s="31"/>
    </row>
    <row r="305" spans="1:8" ht="21.75" customHeight="1">
      <c r="A305" s="67"/>
      <c r="B305" s="137"/>
      <c r="C305" s="88">
        <v>4300</v>
      </c>
      <c r="D305" s="142">
        <f>14000</f>
        <v>14000</v>
      </c>
      <c r="E305" s="142"/>
      <c r="F305" s="142"/>
      <c r="G305" s="142"/>
      <c r="H305" s="31"/>
    </row>
    <row r="306" spans="1:8" ht="21.75" customHeight="1">
      <c r="A306" s="67"/>
      <c r="B306" s="137"/>
      <c r="C306" s="88">
        <v>4390</v>
      </c>
      <c r="D306" s="142"/>
      <c r="E306" s="142"/>
      <c r="F306" s="142">
        <f>14000</f>
        <v>14000</v>
      </c>
      <c r="G306" s="142"/>
      <c r="H306" s="31"/>
    </row>
    <row r="307" spans="1:8" ht="21.75" customHeight="1">
      <c r="A307" s="56" t="s">
        <v>74</v>
      </c>
      <c r="B307" s="56" t="s">
        <v>75</v>
      </c>
      <c r="C307" s="39"/>
      <c r="D307" s="42">
        <f>SUM(D308:D309)</f>
        <v>125.73</v>
      </c>
      <c r="E307" s="42">
        <f>SUM(E308:E309)</f>
        <v>125.73</v>
      </c>
      <c r="F307" s="42">
        <f>SUM(F308:F309)</f>
        <v>125.73</v>
      </c>
      <c r="G307" s="42">
        <f>SUM(G308:G309)</f>
        <v>125.73</v>
      </c>
      <c r="H307" s="31"/>
    </row>
    <row r="308" spans="1:8" ht="21.75" customHeight="1">
      <c r="A308" s="67"/>
      <c r="B308" s="137"/>
      <c r="C308" s="88">
        <v>4120</v>
      </c>
      <c r="D308" s="142">
        <f>125.73</f>
        <v>125.73</v>
      </c>
      <c r="E308" s="142">
        <f>125.73</f>
        <v>125.73</v>
      </c>
      <c r="F308" s="142"/>
      <c r="G308" s="142"/>
      <c r="H308" s="31"/>
    </row>
    <row r="309" spans="1:8" ht="21.75" customHeight="1">
      <c r="A309" s="67"/>
      <c r="B309" s="137"/>
      <c r="C309" s="88">
        <v>4440</v>
      </c>
      <c r="D309" s="142"/>
      <c r="E309" s="142"/>
      <c r="F309" s="142">
        <f>125.73</f>
        <v>125.73</v>
      </c>
      <c r="G309" s="142">
        <f>125.73</f>
        <v>125.73</v>
      </c>
      <c r="H309" s="31"/>
    </row>
    <row r="310" spans="1:8" ht="21.75" customHeight="1">
      <c r="A310" s="56" t="s">
        <v>117</v>
      </c>
      <c r="B310" s="56" t="s">
        <v>118</v>
      </c>
      <c r="C310" s="39"/>
      <c r="D310" s="42">
        <f>SUM(D311:D314)</f>
        <v>589</v>
      </c>
      <c r="E310" s="42">
        <f>SUM(E311:E314)</f>
        <v>589</v>
      </c>
      <c r="F310" s="42">
        <f>SUM(F311:F314)</f>
        <v>11689</v>
      </c>
      <c r="G310" s="42">
        <f>SUM(G311:G314)</f>
        <v>11689</v>
      </c>
      <c r="H310" s="31"/>
    </row>
    <row r="311" spans="1:8" ht="21.75" customHeight="1">
      <c r="A311" s="67"/>
      <c r="B311" s="137"/>
      <c r="C311" s="88">
        <v>4300</v>
      </c>
      <c r="D311" s="142"/>
      <c r="E311" s="142"/>
      <c r="F311" s="142">
        <f>500</f>
        <v>500</v>
      </c>
      <c r="G311" s="142">
        <f>500</f>
        <v>500</v>
      </c>
      <c r="H311" s="31"/>
    </row>
    <row r="312" spans="1:8" ht="21.75" customHeight="1">
      <c r="A312" s="67"/>
      <c r="B312" s="137"/>
      <c r="C312" s="88">
        <v>4390</v>
      </c>
      <c r="D312" s="142"/>
      <c r="E312" s="142"/>
      <c r="F312" s="142">
        <v>11100</v>
      </c>
      <c r="G312" s="142">
        <v>11100</v>
      </c>
      <c r="H312" s="31"/>
    </row>
    <row r="313" spans="1:8" ht="21.75" customHeight="1">
      <c r="A313" s="67"/>
      <c r="B313" s="137"/>
      <c r="C313" s="88">
        <v>4410</v>
      </c>
      <c r="D313" s="142">
        <f>589</f>
        <v>589</v>
      </c>
      <c r="E313" s="142">
        <f>589</f>
        <v>589</v>
      </c>
      <c r="F313" s="142"/>
      <c r="G313" s="142"/>
      <c r="H313" s="31"/>
    </row>
    <row r="314" spans="1:8" ht="21.75" customHeight="1">
      <c r="A314" s="67"/>
      <c r="B314" s="137"/>
      <c r="C314" s="88">
        <v>4440</v>
      </c>
      <c r="D314" s="142"/>
      <c r="E314" s="142"/>
      <c r="F314" s="142">
        <f>89</f>
        <v>89</v>
      </c>
      <c r="G314" s="142">
        <f>89</f>
        <v>89</v>
      </c>
      <c r="H314" s="31"/>
    </row>
    <row r="315" spans="1:8" ht="21.75" customHeight="1">
      <c r="A315" s="56" t="s">
        <v>49</v>
      </c>
      <c r="B315" s="56"/>
      <c r="C315" s="39"/>
      <c r="D315" s="42">
        <f>D316+D319+D322</f>
        <v>8661.19</v>
      </c>
      <c r="E315" s="42">
        <f>E316+E319+E322</f>
        <v>6611.080000000001</v>
      </c>
      <c r="F315" s="42">
        <f>F316+F319+F322</f>
        <v>2701.46</v>
      </c>
      <c r="G315" s="42">
        <f>G316+G319+G322</f>
        <v>651.35</v>
      </c>
      <c r="H315" s="31"/>
    </row>
    <row r="316" spans="1:8" ht="21.75" customHeight="1">
      <c r="A316" s="67"/>
      <c r="B316" s="81" t="s">
        <v>109</v>
      </c>
      <c r="C316" s="88"/>
      <c r="D316" s="80">
        <f>SUM(D317:D318)</f>
        <v>651.35</v>
      </c>
      <c r="E316" s="80">
        <f>SUM(E317:E318)</f>
        <v>651.35</v>
      </c>
      <c r="F316" s="80">
        <f>SUM(F317:F318)</f>
        <v>651.35</v>
      </c>
      <c r="G316" s="80">
        <f>SUM(G317:G318)</f>
        <v>651.35</v>
      </c>
      <c r="H316" s="31"/>
    </row>
    <row r="317" spans="1:8" ht="21.75" customHeight="1">
      <c r="A317" s="67"/>
      <c r="B317" s="137"/>
      <c r="C317" s="88">
        <v>4010</v>
      </c>
      <c r="D317" s="142">
        <f>651.35</f>
        <v>651.35</v>
      </c>
      <c r="E317" s="142">
        <v>651.35</v>
      </c>
      <c r="F317" s="142"/>
      <c r="G317" s="142"/>
      <c r="H317" s="31"/>
    </row>
    <row r="318" spans="1:8" ht="21.75" customHeight="1">
      <c r="A318" s="67"/>
      <c r="B318" s="137"/>
      <c r="C318" s="88">
        <v>4440</v>
      </c>
      <c r="D318" s="142"/>
      <c r="E318" s="142"/>
      <c r="F318" s="142">
        <f>651.35</f>
        <v>651.35</v>
      </c>
      <c r="G318" s="142">
        <v>651.35</v>
      </c>
      <c r="H318" s="31"/>
    </row>
    <row r="319" spans="1:8" ht="21.75" customHeight="1">
      <c r="A319" s="67"/>
      <c r="B319" s="81" t="s">
        <v>110</v>
      </c>
      <c r="C319" s="88"/>
      <c r="D319" s="80">
        <f>SUM(D320:D321)</f>
        <v>2050.11</v>
      </c>
      <c r="E319" s="80">
        <f>SUM(E320:E321)</f>
        <v>0</v>
      </c>
      <c r="F319" s="80">
        <f>SUM(F320:F321)</f>
        <v>2050.11</v>
      </c>
      <c r="G319" s="80">
        <f>SUM(G320:G321)</f>
        <v>0</v>
      </c>
      <c r="H319" s="31"/>
    </row>
    <row r="320" spans="1:8" ht="21.75" customHeight="1">
      <c r="A320" s="67"/>
      <c r="B320" s="137"/>
      <c r="C320" s="88">
        <v>4120</v>
      </c>
      <c r="D320" s="142">
        <f>2050.11</f>
        <v>2050.11</v>
      </c>
      <c r="E320" s="142"/>
      <c r="F320" s="142"/>
      <c r="G320" s="142"/>
      <c r="H320" s="31"/>
    </row>
    <row r="321" spans="1:8" ht="21.75" customHeight="1">
      <c r="A321" s="67"/>
      <c r="B321" s="137"/>
      <c r="C321" s="88">
        <v>4440</v>
      </c>
      <c r="D321" s="142"/>
      <c r="E321" s="142"/>
      <c r="F321" s="142">
        <f>2050.11</f>
        <v>2050.11</v>
      </c>
      <c r="G321" s="142"/>
      <c r="H321" s="31"/>
    </row>
    <row r="322" spans="1:8" ht="21.75" customHeight="1">
      <c r="A322" s="67"/>
      <c r="B322" s="62" t="s">
        <v>152</v>
      </c>
      <c r="C322" s="88"/>
      <c r="D322" s="142">
        <f>SUM(D323:D328)</f>
        <v>5959.7300000000005</v>
      </c>
      <c r="E322" s="142">
        <f>SUM(E323:E328)</f>
        <v>5959.7300000000005</v>
      </c>
      <c r="F322" s="142">
        <f>SUM(F323:F328)</f>
        <v>0</v>
      </c>
      <c r="G322" s="142">
        <f>SUM(G323:G328)</f>
        <v>0</v>
      </c>
      <c r="H322" s="31"/>
    </row>
    <row r="323" spans="1:8" ht="21.75" customHeight="1">
      <c r="A323" s="67"/>
      <c r="B323" s="62"/>
      <c r="C323" s="88">
        <v>3030</v>
      </c>
      <c r="D323" s="142">
        <f>10</f>
        <v>10</v>
      </c>
      <c r="E323" s="142">
        <f>10</f>
        <v>10</v>
      </c>
      <c r="F323" s="142"/>
      <c r="G323" s="142"/>
      <c r="H323" s="31"/>
    </row>
    <row r="324" spans="1:8" ht="21.75" customHeight="1">
      <c r="A324" s="67"/>
      <c r="B324" s="137"/>
      <c r="C324" s="88">
        <v>4110</v>
      </c>
      <c r="D324" s="142">
        <f>622.32</f>
        <v>622.32</v>
      </c>
      <c r="E324" s="142">
        <f>622.32</f>
        <v>622.32</v>
      </c>
      <c r="F324" s="142"/>
      <c r="G324" s="142"/>
      <c r="H324" s="31"/>
    </row>
    <row r="325" spans="1:8" ht="21.75" customHeight="1">
      <c r="A325" s="67"/>
      <c r="B325" s="137"/>
      <c r="C325" s="88">
        <v>4120</v>
      </c>
      <c r="D325" s="142">
        <f>185.9</f>
        <v>185.9</v>
      </c>
      <c r="E325" s="142">
        <f>185.9</f>
        <v>185.9</v>
      </c>
      <c r="F325" s="142"/>
      <c r="G325" s="142"/>
      <c r="H325" s="31"/>
    </row>
    <row r="326" spans="1:8" ht="21.75" customHeight="1">
      <c r="A326" s="67"/>
      <c r="B326" s="137"/>
      <c r="C326" s="88">
        <v>4170</v>
      </c>
      <c r="D326" s="142">
        <f>3050</f>
        <v>3050</v>
      </c>
      <c r="E326" s="142">
        <f>3050</f>
        <v>3050</v>
      </c>
      <c r="F326" s="142"/>
      <c r="G326" s="142"/>
      <c r="H326" s="31"/>
    </row>
    <row r="327" spans="1:8" ht="21.75" customHeight="1">
      <c r="A327" s="67"/>
      <c r="B327" s="137"/>
      <c r="C327" s="88">
        <v>4210</v>
      </c>
      <c r="D327" s="142">
        <f>576.76</f>
        <v>576.76</v>
      </c>
      <c r="E327" s="142">
        <f>576.76</f>
        <v>576.76</v>
      </c>
      <c r="F327" s="142"/>
      <c r="G327" s="142"/>
      <c r="H327" s="31"/>
    </row>
    <row r="328" spans="1:8" ht="21.75" customHeight="1">
      <c r="A328" s="67"/>
      <c r="B328" s="137"/>
      <c r="C328" s="88">
        <v>4300</v>
      </c>
      <c r="D328" s="142">
        <f>1514.75</f>
        <v>1514.75</v>
      </c>
      <c r="E328" s="142">
        <f>1514.75</f>
        <v>1514.75</v>
      </c>
      <c r="F328" s="142"/>
      <c r="G328" s="142"/>
      <c r="H328" s="31"/>
    </row>
    <row r="329" spans="1:8" ht="21.75" customHeight="1">
      <c r="A329" s="56" t="s">
        <v>119</v>
      </c>
      <c r="B329" s="56" t="s">
        <v>120</v>
      </c>
      <c r="C329" s="39"/>
      <c r="D329" s="42">
        <f>SUM(D330:D338)</f>
        <v>15259</v>
      </c>
      <c r="E329" s="42">
        <f>SUM(E330:E338)</f>
        <v>15259</v>
      </c>
      <c r="F329" s="42">
        <f>SUM(F330:F338)</f>
        <v>15259</v>
      </c>
      <c r="G329" s="42">
        <f>SUM(G330:G338)</f>
        <v>15259</v>
      </c>
      <c r="H329" s="31"/>
    </row>
    <row r="330" spans="1:8" ht="21.75" customHeight="1">
      <c r="A330" s="154"/>
      <c r="B330" s="64"/>
      <c r="C330" s="88">
        <v>3070</v>
      </c>
      <c r="D330" s="142">
        <f>3500</f>
        <v>3500</v>
      </c>
      <c r="E330" s="142">
        <f>3500</f>
        <v>3500</v>
      </c>
      <c r="F330" s="142"/>
      <c r="G330" s="142"/>
      <c r="H330" s="31"/>
    </row>
    <row r="331" spans="1:8" ht="21.75" customHeight="1">
      <c r="A331" s="67"/>
      <c r="B331" s="137"/>
      <c r="C331" s="88">
        <v>4050</v>
      </c>
      <c r="D331" s="142">
        <f>5663</f>
        <v>5663</v>
      </c>
      <c r="E331" s="142">
        <f>5663</f>
        <v>5663</v>
      </c>
      <c r="F331" s="142"/>
      <c r="G331" s="142"/>
      <c r="H331" s="31"/>
    </row>
    <row r="332" spans="1:8" ht="21.75" customHeight="1">
      <c r="A332" s="67"/>
      <c r="B332" s="137"/>
      <c r="C332" s="88">
        <v>4060</v>
      </c>
      <c r="D332" s="142"/>
      <c r="E332" s="142"/>
      <c r="F332" s="142">
        <f>5663</f>
        <v>5663</v>
      </c>
      <c r="G332" s="142">
        <f>5663</f>
        <v>5663</v>
      </c>
      <c r="H332" s="31"/>
    </row>
    <row r="333" spans="1:8" ht="21.75" customHeight="1">
      <c r="A333" s="67"/>
      <c r="B333" s="137"/>
      <c r="C333" s="88">
        <v>4210</v>
      </c>
      <c r="D333" s="142"/>
      <c r="E333" s="142"/>
      <c r="F333" s="142">
        <v>3500</v>
      </c>
      <c r="G333" s="142">
        <v>3500</v>
      </c>
      <c r="H333" s="31"/>
    </row>
    <row r="334" spans="1:8" ht="21.75" customHeight="1">
      <c r="A334" s="67"/>
      <c r="B334" s="137"/>
      <c r="C334" s="88">
        <v>4260</v>
      </c>
      <c r="D334" s="142"/>
      <c r="E334" s="142"/>
      <c r="F334" s="142">
        <v>3500</v>
      </c>
      <c r="G334" s="142">
        <v>3500</v>
      </c>
      <c r="H334" s="31"/>
    </row>
    <row r="335" spans="1:8" ht="21.75" customHeight="1">
      <c r="A335" s="67"/>
      <c r="B335" s="137"/>
      <c r="C335" s="88">
        <v>4270</v>
      </c>
      <c r="D335" s="142">
        <v>3500</v>
      </c>
      <c r="E335" s="142">
        <v>3500</v>
      </c>
      <c r="F335" s="142"/>
      <c r="G335" s="142"/>
      <c r="H335" s="31"/>
    </row>
    <row r="336" spans="1:8" ht="21.75" customHeight="1">
      <c r="A336" s="67"/>
      <c r="B336" s="137"/>
      <c r="C336" s="88">
        <v>4300</v>
      </c>
      <c r="D336" s="142">
        <f>96+2500</f>
        <v>2596</v>
      </c>
      <c r="E336" s="142">
        <f>96+2500</f>
        <v>2596</v>
      </c>
      <c r="F336" s="142"/>
      <c r="G336" s="142"/>
      <c r="H336" s="31"/>
    </row>
    <row r="337" spans="1:8" ht="21.75" customHeight="1">
      <c r="A337" s="67"/>
      <c r="B337" s="137"/>
      <c r="C337" s="88">
        <v>4410</v>
      </c>
      <c r="D337" s="142"/>
      <c r="E337" s="142"/>
      <c r="F337" s="142">
        <v>2500</v>
      </c>
      <c r="G337" s="142">
        <v>2500</v>
      </c>
      <c r="H337" s="31"/>
    </row>
    <row r="338" spans="1:8" ht="21.75" customHeight="1">
      <c r="A338" s="67"/>
      <c r="B338" s="137"/>
      <c r="C338" s="88">
        <v>4440</v>
      </c>
      <c r="D338" s="142"/>
      <c r="E338" s="142"/>
      <c r="F338" s="142">
        <f>96</f>
        <v>96</v>
      </c>
      <c r="G338" s="142">
        <f>96</f>
        <v>96</v>
      </c>
      <c r="H338" s="31"/>
    </row>
    <row r="339" spans="1:8" ht="21.75" customHeight="1">
      <c r="A339" s="56" t="s">
        <v>15</v>
      </c>
      <c r="B339" s="56"/>
      <c r="C339" s="39"/>
      <c r="D339" s="42">
        <f>D340+D348+D367+D380+D401+D421+D432+D435+D441+D452+D457+D460</f>
        <v>398396.58</v>
      </c>
      <c r="E339" s="42">
        <f>E340+E348+E367+E380+E401+E421+E432+E435+E441+E452+E457+E460</f>
        <v>0</v>
      </c>
      <c r="F339" s="42">
        <f>F340+F348+F367+F380+F401+F421+F432+F435+F441+F452+F457+F460</f>
        <v>404330.05</v>
      </c>
      <c r="G339" s="42">
        <f>G340+G348+G367+G380+G401+G421+G432+G435+G441+G452+G457+G460</f>
        <v>5933.469999999999</v>
      </c>
      <c r="H339" s="31"/>
    </row>
    <row r="340" spans="1:8" ht="21.75" customHeight="1">
      <c r="A340" s="154"/>
      <c r="B340" s="81" t="s">
        <v>124</v>
      </c>
      <c r="C340" s="88"/>
      <c r="D340" s="80">
        <f>SUM(D341:D347)</f>
        <v>21587</v>
      </c>
      <c r="E340" s="80">
        <f>SUM(E341:E347)</f>
        <v>0</v>
      </c>
      <c r="F340" s="80">
        <f>SUM(F341:F347)</f>
        <v>8587</v>
      </c>
      <c r="G340" s="80">
        <f>SUM(G341:G347)</f>
        <v>0</v>
      </c>
      <c r="H340" s="31"/>
    </row>
    <row r="341" spans="1:8" ht="21.75" customHeight="1">
      <c r="A341" s="154"/>
      <c r="B341" s="62"/>
      <c r="C341" s="162">
        <v>3020</v>
      </c>
      <c r="D341" s="80"/>
      <c r="E341" s="80"/>
      <c r="F341" s="80">
        <f>703+7527-1700</f>
        <v>6530</v>
      </c>
      <c r="G341" s="80"/>
      <c r="H341" s="31"/>
    </row>
    <row r="342" spans="1:8" ht="21.75" customHeight="1">
      <c r="A342" s="154"/>
      <c r="B342" s="67"/>
      <c r="C342" s="162">
        <v>4010</v>
      </c>
      <c r="D342" s="80">
        <f>3700+9577</f>
        <v>13277</v>
      </c>
      <c r="E342" s="80"/>
      <c r="F342" s="80"/>
      <c r="G342" s="80"/>
      <c r="H342" s="31"/>
    </row>
    <row r="343" spans="1:8" ht="21.75" customHeight="1">
      <c r="A343" s="154"/>
      <c r="B343" s="67"/>
      <c r="C343" s="162">
        <v>4040</v>
      </c>
      <c r="D343" s="80"/>
      <c r="E343" s="80"/>
      <c r="F343" s="80">
        <f>2050</f>
        <v>2050</v>
      </c>
      <c r="G343" s="80"/>
      <c r="H343" s="31"/>
    </row>
    <row r="344" spans="1:8" ht="21.75" customHeight="1">
      <c r="A344" s="154"/>
      <c r="B344" s="67"/>
      <c r="C344" s="162">
        <v>4110</v>
      </c>
      <c r="D344" s="80">
        <f>3600</f>
        <v>3600</v>
      </c>
      <c r="E344" s="80"/>
      <c r="F344" s="80"/>
      <c r="G344" s="80"/>
      <c r="H344" s="31"/>
    </row>
    <row r="345" spans="1:8" ht="21.75" customHeight="1">
      <c r="A345" s="154"/>
      <c r="B345" s="67"/>
      <c r="C345" s="162">
        <v>4120</v>
      </c>
      <c r="D345" s="80">
        <f>4000</f>
        <v>4000</v>
      </c>
      <c r="E345" s="80"/>
      <c r="F345" s="80"/>
      <c r="G345" s="80"/>
      <c r="H345" s="31"/>
    </row>
    <row r="346" spans="1:8" ht="21.75" customHeight="1">
      <c r="A346" s="154"/>
      <c r="B346" s="67"/>
      <c r="C346" s="162">
        <v>4360</v>
      </c>
      <c r="D346" s="80">
        <f>710</f>
        <v>710</v>
      </c>
      <c r="E346" s="80"/>
      <c r="F346" s="80"/>
      <c r="G346" s="80"/>
      <c r="H346" s="31"/>
    </row>
    <row r="347" spans="1:8" ht="21.75" customHeight="1">
      <c r="A347" s="154"/>
      <c r="B347" s="67"/>
      <c r="C347" s="162">
        <v>4440</v>
      </c>
      <c r="D347" s="80"/>
      <c r="E347" s="80"/>
      <c r="F347" s="80">
        <f>7</f>
        <v>7</v>
      </c>
      <c r="G347" s="80"/>
      <c r="H347" s="31"/>
    </row>
    <row r="348" spans="1:8" ht="21.75" customHeight="1">
      <c r="A348" s="154"/>
      <c r="B348" s="81" t="s">
        <v>91</v>
      </c>
      <c r="C348" s="88"/>
      <c r="D348" s="80">
        <f>SUM(D349:D366)</f>
        <v>43461.57</v>
      </c>
      <c r="E348" s="80">
        <f>SUM(E349:E366)</f>
        <v>0</v>
      </c>
      <c r="F348" s="80">
        <f>SUM(F349:F366)</f>
        <v>209306.57</v>
      </c>
      <c r="G348" s="80">
        <f>SUM(G349:G366)</f>
        <v>0</v>
      </c>
      <c r="H348" s="31"/>
    </row>
    <row r="349" spans="1:8" ht="21.75" customHeight="1">
      <c r="A349" s="154"/>
      <c r="B349" s="62"/>
      <c r="C349" s="162">
        <v>3020</v>
      </c>
      <c r="D349" s="80">
        <f>2141</f>
        <v>2141</v>
      </c>
      <c r="E349" s="80"/>
      <c r="F349" s="80"/>
      <c r="G349" s="80"/>
      <c r="H349" s="31"/>
    </row>
    <row r="350" spans="1:8" ht="21.75" customHeight="1">
      <c r="A350" s="154"/>
      <c r="B350" s="67"/>
      <c r="C350" s="162">
        <v>4010</v>
      </c>
      <c r="D350" s="80"/>
      <c r="E350" s="80"/>
      <c r="F350" s="80">
        <f>76663+67189</f>
        <v>143852</v>
      </c>
      <c r="G350" s="80"/>
      <c r="H350" s="31"/>
    </row>
    <row r="351" spans="1:8" ht="21.75" customHeight="1">
      <c r="A351" s="154"/>
      <c r="B351" s="67"/>
      <c r="C351" s="162">
        <v>4110</v>
      </c>
      <c r="D351" s="80"/>
      <c r="E351" s="80"/>
      <c r="F351" s="80">
        <f>23500+11294+15000</f>
        <v>49794</v>
      </c>
      <c r="G351" s="80"/>
      <c r="H351" s="31"/>
    </row>
    <row r="352" spans="1:8" ht="21.75" customHeight="1">
      <c r="A352" s="154"/>
      <c r="B352" s="67"/>
      <c r="C352" s="162">
        <v>4120</v>
      </c>
      <c r="D352" s="80">
        <f>2000+5000</f>
        <v>7000</v>
      </c>
      <c r="E352" s="80"/>
      <c r="F352" s="80"/>
      <c r="G352" s="80"/>
      <c r="H352" s="31"/>
    </row>
    <row r="353" spans="1:8" ht="21.75" customHeight="1">
      <c r="A353" s="154"/>
      <c r="B353" s="67"/>
      <c r="C353" s="162">
        <v>4170</v>
      </c>
      <c r="D353" s="80">
        <f>2884.57</f>
        <v>2884.57</v>
      </c>
      <c r="E353" s="80"/>
      <c r="F353" s="80"/>
      <c r="G353" s="80"/>
      <c r="H353" s="31"/>
    </row>
    <row r="354" spans="1:8" ht="21.75" customHeight="1">
      <c r="A354" s="154"/>
      <c r="B354" s="67"/>
      <c r="C354" s="162">
        <v>4210</v>
      </c>
      <c r="D354" s="80"/>
      <c r="E354" s="80"/>
      <c r="F354" s="80">
        <f>2108+2250</f>
        <v>4358</v>
      </c>
      <c r="G354" s="80"/>
      <c r="H354" s="31"/>
    </row>
    <row r="355" spans="1:8" ht="21.75" customHeight="1">
      <c r="A355" s="154"/>
      <c r="B355" s="67"/>
      <c r="C355" s="162">
        <v>4240</v>
      </c>
      <c r="D355" s="80">
        <f>200</f>
        <v>200</v>
      </c>
      <c r="E355" s="80"/>
      <c r="F355" s="80"/>
      <c r="G355" s="80"/>
      <c r="H355" s="31"/>
    </row>
    <row r="356" spans="1:8" ht="21.75" customHeight="1">
      <c r="A356" s="154"/>
      <c r="B356" s="67"/>
      <c r="C356" s="162">
        <v>4260</v>
      </c>
      <c r="D356" s="80"/>
      <c r="E356" s="80"/>
      <c r="F356" s="80">
        <f>4200</f>
        <v>4200</v>
      </c>
      <c r="G356" s="80"/>
      <c r="H356" s="31"/>
    </row>
    <row r="357" spans="1:8" ht="21.75" customHeight="1">
      <c r="A357" s="154"/>
      <c r="B357" s="67"/>
      <c r="C357" s="162">
        <v>4270</v>
      </c>
      <c r="D357" s="80">
        <f>15800</f>
        <v>15800</v>
      </c>
      <c r="E357" s="80"/>
      <c r="F357" s="80"/>
      <c r="G357" s="80"/>
      <c r="H357" s="31"/>
    </row>
    <row r="358" spans="1:8" ht="21.75" customHeight="1">
      <c r="A358" s="154"/>
      <c r="B358" s="67"/>
      <c r="C358" s="162">
        <v>4280</v>
      </c>
      <c r="D358" s="80">
        <f>500</f>
        <v>500</v>
      </c>
      <c r="E358" s="80"/>
      <c r="F358" s="80"/>
      <c r="G358" s="80"/>
      <c r="H358" s="31"/>
    </row>
    <row r="359" spans="1:8" ht="21.75" customHeight="1">
      <c r="A359" s="154"/>
      <c r="B359" s="67"/>
      <c r="C359" s="162">
        <v>4300</v>
      </c>
      <c r="D359" s="80"/>
      <c r="E359" s="80"/>
      <c r="F359" s="80">
        <f>2570</f>
        <v>2570</v>
      </c>
      <c r="G359" s="80"/>
      <c r="H359" s="31"/>
    </row>
    <row r="360" spans="1:8" ht="21.75" customHeight="1">
      <c r="A360" s="154"/>
      <c r="B360" s="67"/>
      <c r="C360" s="162">
        <v>4360</v>
      </c>
      <c r="D360" s="80">
        <f>2400-40</f>
        <v>2360</v>
      </c>
      <c r="E360" s="80"/>
      <c r="F360" s="80"/>
      <c r="G360" s="80"/>
      <c r="H360" s="31"/>
    </row>
    <row r="361" spans="1:8" ht="21.75" customHeight="1">
      <c r="A361" s="154"/>
      <c r="B361" s="67"/>
      <c r="C361" s="162">
        <v>4390</v>
      </c>
      <c r="D361" s="80">
        <f>289+2310</f>
        <v>2599</v>
      </c>
      <c r="E361" s="80"/>
      <c r="F361" s="80"/>
      <c r="G361" s="80"/>
      <c r="H361" s="31"/>
    </row>
    <row r="362" spans="1:8" ht="21.75" customHeight="1">
      <c r="A362" s="154"/>
      <c r="B362" s="67"/>
      <c r="C362" s="162">
        <v>4410</v>
      </c>
      <c r="D362" s="80">
        <f>8700</f>
        <v>8700</v>
      </c>
      <c r="E362" s="80"/>
      <c r="F362" s="80"/>
      <c r="G362" s="80"/>
      <c r="H362" s="31"/>
    </row>
    <row r="363" spans="1:8" ht="21.75" customHeight="1">
      <c r="A363" s="154"/>
      <c r="B363" s="67"/>
      <c r="C363" s="162">
        <v>4430</v>
      </c>
      <c r="D363" s="80">
        <f>277</f>
        <v>277</v>
      </c>
      <c r="E363" s="80"/>
      <c r="F363" s="80"/>
      <c r="G363" s="80"/>
      <c r="H363" s="31"/>
    </row>
    <row r="364" spans="1:8" ht="21.75" customHeight="1">
      <c r="A364" s="154"/>
      <c r="B364" s="67"/>
      <c r="C364" s="162">
        <v>4440</v>
      </c>
      <c r="D364" s="80"/>
      <c r="E364" s="80"/>
      <c r="F364" s="80">
        <f>4173.57</f>
        <v>4173.57</v>
      </c>
      <c r="G364" s="80"/>
      <c r="H364" s="31"/>
    </row>
    <row r="365" spans="1:8" ht="21.75" customHeight="1">
      <c r="A365" s="154"/>
      <c r="B365" s="67"/>
      <c r="C365" s="162">
        <v>4510</v>
      </c>
      <c r="D365" s="80">
        <f>1000</f>
        <v>1000</v>
      </c>
      <c r="E365" s="80"/>
      <c r="F365" s="80"/>
      <c r="G365" s="80"/>
      <c r="H365" s="31"/>
    </row>
    <row r="366" spans="1:8" ht="21.75" customHeight="1">
      <c r="A366" s="154"/>
      <c r="B366" s="67"/>
      <c r="C366" s="162">
        <v>4700</v>
      </c>
      <c r="D366" s="80"/>
      <c r="E366" s="80"/>
      <c r="F366" s="80">
        <f>299+60</f>
        <v>359</v>
      </c>
      <c r="G366" s="80"/>
      <c r="H366" s="31"/>
    </row>
    <row r="367" spans="1:8" ht="21.75" customHeight="1">
      <c r="A367" s="154"/>
      <c r="B367" s="81" t="s">
        <v>64</v>
      </c>
      <c r="C367" s="88"/>
      <c r="D367" s="80">
        <f>SUM(D368:D379)</f>
        <v>8312</v>
      </c>
      <c r="E367" s="80">
        <f>SUM(E368:E379)</f>
        <v>0</v>
      </c>
      <c r="F367" s="80">
        <f>SUM(F368:F379)</f>
        <v>44295</v>
      </c>
      <c r="G367" s="80">
        <f>SUM(G368:G379)</f>
        <v>0</v>
      </c>
      <c r="H367" s="31"/>
    </row>
    <row r="368" spans="1:8" ht="21.75" customHeight="1">
      <c r="A368" s="154"/>
      <c r="B368" s="62"/>
      <c r="C368" s="88">
        <v>3020</v>
      </c>
      <c r="D368" s="80">
        <f>499</f>
        <v>499</v>
      </c>
      <c r="E368" s="80"/>
      <c r="F368" s="80"/>
      <c r="G368" s="80"/>
      <c r="H368" s="31"/>
    </row>
    <row r="369" spans="1:8" ht="21.75" customHeight="1">
      <c r="A369" s="154"/>
      <c r="B369" s="67"/>
      <c r="C369" s="88">
        <v>4010</v>
      </c>
      <c r="D369" s="80"/>
      <c r="E369" s="80"/>
      <c r="F369" s="80">
        <f>30000-12000</f>
        <v>18000</v>
      </c>
      <c r="G369" s="80"/>
      <c r="H369" s="31"/>
    </row>
    <row r="370" spans="1:8" ht="21.75" customHeight="1">
      <c r="A370" s="154"/>
      <c r="B370" s="67"/>
      <c r="C370" s="88">
        <v>4110</v>
      </c>
      <c r="D370" s="80">
        <f>4000</f>
        <v>4000</v>
      </c>
      <c r="E370" s="80"/>
      <c r="F370" s="80"/>
      <c r="G370" s="80"/>
      <c r="H370" s="31"/>
    </row>
    <row r="371" spans="1:8" ht="21.75" customHeight="1">
      <c r="A371" s="154"/>
      <c r="B371" s="67"/>
      <c r="C371" s="88">
        <v>4120</v>
      </c>
      <c r="D371" s="80">
        <f>850+1000</f>
        <v>1850</v>
      </c>
      <c r="E371" s="80"/>
      <c r="F371" s="80"/>
      <c r="G371" s="80"/>
      <c r="H371" s="31"/>
    </row>
    <row r="372" spans="1:8" ht="21.75" customHeight="1">
      <c r="A372" s="154"/>
      <c r="B372" s="67"/>
      <c r="C372" s="88">
        <v>4170</v>
      </c>
      <c r="D372" s="80">
        <f>1290</f>
        <v>1290</v>
      </c>
      <c r="E372" s="80"/>
      <c r="F372" s="80"/>
      <c r="G372" s="80"/>
      <c r="H372" s="31"/>
    </row>
    <row r="373" spans="1:8" ht="21.75" customHeight="1">
      <c r="A373" s="154"/>
      <c r="B373" s="67"/>
      <c r="C373" s="88">
        <v>4210</v>
      </c>
      <c r="D373" s="80">
        <f>917-500</f>
        <v>417</v>
      </c>
      <c r="E373" s="80"/>
      <c r="F373" s="80"/>
      <c r="G373" s="80"/>
      <c r="H373" s="31"/>
    </row>
    <row r="374" spans="1:8" ht="21.75" customHeight="1">
      <c r="A374" s="154"/>
      <c r="B374" s="67"/>
      <c r="C374" s="88">
        <v>4260</v>
      </c>
      <c r="D374" s="80"/>
      <c r="E374" s="80"/>
      <c r="F374" s="80">
        <f>4601</f>
        <v>4601</v>
      </c>
      <c r="G374" s="80"/>
      <c r="H374" s="31"/>
    </row>
    <row r="375" spans="1:8" ht="21.75" customHeight="1">
      <c r="A375" s="154"/>
      <c r="B375" s="67"/>
      <c r="C375" s="88">
        <v>4300</v>
      </c>
      <c r="D375" s="80"/>
      <c r="E375" s="80"/>
      <c r="F375" s="80">
        <f>2994</f>
        <v>2994</v>
      </c>
      <c r="G375" s="80"/>
      <c r="H375" s="31"/>
    </row>
    <row r="376" spans="1:8" ht="21.75" customHeight="1">
      <c r="A376" s="154"/>
      <c r="B376" s="67"/>
      <c r="C376" s="88">
        <v>4390</v>
      </c>
      <c r="D376" s="80">
        <f>131</f>
        <v>131</v>
      </c>
      <c r="E376" s="80"/>
      <c r="F376" s="80"/>
      <c r="G376" s="80"/>
      <c r="H376" s="31"/>
    </row>
    <row r="377" spans="1:8" ht="21.75" customHeight="1">
      <c r="A377" s="154"/>
      <c r="B377" s="67"/>
      <c r="C377" s="88">
        <v>4430</v>
      </c>
      <c r="D377" s="80">
        <f>125</f>
        <v>125</v>
      </c>
      <c r="E377" s="80"/>
      <c r="F377" s="80"/>
      <c r="G377" s="80"/>
      <c r="H377" s="31"/>
    </row>
    <row r="378" spans="1:8" ht="21.75" customHeight="1">
      <c r="A378" s="154"/>
      <c r="B378" s="67"/>
      <c r="C378" s="88">
        <v>4440</v>
      </c>
      <c r="D378" s="80"/>
      <c r="E378" s="80"/>
      <c r="F378" s="80">
        <f>18556</f>
        <v>18556</v>
      </c>
      <c r="G378" s="80"/>
      <c r="H378" s="31"/>
    </row>
    <row r="379" spans="1:8" ht="21.75" customHeight="1">
      <c r="A379" s="154"/>
      <c r="B379" s="92"/>
      <c r="C379" s="88">
        <v>4700</v>
      </c>
      <c r="D379" s="80"/>
      <c r="E379" s="80"/>
      <c r="F379" s="80">
        <f>94+50</f>
        <v>144</v>
      </c>
      <c r="G379" s="80"/>
      <c r="H379" s="31"/>
    </row>
    <row r="380" spans="1:8" ht="21.75" customHeight="1">
      <c r="A380" s="154"/>
      <c r="B380" s="81" t="s">
        <v>93</v>
      </c>
      <c r="C380" s="88"/>
      <c r="D380" s="80">
        <f>SUM(D381:D400)</f>
        <v>141565</v>
      </c>
      <c r="E380" s="80">
        <f>SUM(E381:E400)</f>
        <v>0</v>
      </c>
      <c r="F380" s="80">
        <f>SUM(F381:F400)</f>
        <v>111950</v>
      </c>
      <c r="G380" s="80">
        <f>SUM(G381:G400)</f>
        <v>0</v>
      </c>
      <c r="H380" s="31"/>
    </row>
    <row r="381" spans="1:8" ht="21.75" customHeight="1">
      <c r="A381" s="154"/>
      <c r="B381" s="62"/>
      <c r="C381" s="88">
        <v>3020</v>
      </c>
      <c r="D381" s="142">
        <f>1750+1600+10000+434</f>
        <v>13784</v>
      </c>
      <c r="E381" s="142"/>
      <c r="F381" s="142"/>
      <c r="G381" s="142"/>
      <c r="H381" s="31"/>
    </row>
    <row r="382" spans="1:8" ht="21.75" customHeight="1">
      <c r="A382" s="154"/>
      <c r="B382" s="67"/>
      <c r="C382" s="88">
        <v>4010</v>
      </c>
      <c r="D382" s="142"/>
      <c r="E382" s="142"/>
      <c r="F382" s="142">
        <f>28252+67898</f>
        <v>96150</v>
      </c>
      <c r="G382" s="142"/>
      <c r="H382" s="31"/>
    </row>
    <row r="383" spans="1:8" ht="21.75" customHeight="1">
      <c r="A383" s="154"/>
      <c r="B383" s="67"/>
      <c r="C383" s="88">
        <v>4110</v>
      </c>
      <c r="D383" s="142"/>
      <c r="E383" s="142"/>
      <c r="F383" s="142">
        <f>10800+12000-7000</f>
        <v>15800</v>
      </c>
      <c r="G383" s="142"/>
      <c r="H383" s="31"/>
    </row>
    <row r="384" spans="1:8" ht="21.75" customHeight="1">
      <c r="A384" s="154"/>
      <c r="B384" s="67"/>
      <c r="C384" s="88">
        <v>4120</v>
      </c>
      <c r="D384" s="142">
        <f>4500+3000+12000</f>
        <v>19500</v>
      </c>
      <c r="E384" s="142"/>
      <c r="F384" s="142"/>
      <c r="G384" s="142"/>
      <c r="H384" s="31"/>
    </row>
    <row r="385" spans="1:8" ht="21.75" customHeight="1">
      <c r="A385" s="154"/>
      <c r="B385" s="67"/>
      <c r="C385" s="88">
        <v>4170</v>
      </c>
      <c r="D385" s="142">
        <f>200</f>
        <v>200</v>
      </c>
      <c r="E385" s="142"/>
      <c r="F385" s="142"/>
      <c r="G385" s="142"/>
      <c r="H385" s="31"/>
    </row>
    <row r="386" spans="1:8" ht="21.75" customHeight="1">
      <c r="A386" s="154"/>
      <c r="B386" s="67"/>
      <c r="C386" s="88">
        <v>4210</v>
      </c>
      <c r="D386" s="142">
        <f>231+11000</f>
        <v>11231</v>
      </c>
      <c r="E386" s="142"/>
      <c r="F386" s="142"/>
      <c r="G386" s="142"/>
      <c r="H386" s="31"/>
    </row>
    <row r="387" spans="1:8" ht="21.75" customHeight="1">
      <c r="A387" s="154"/>
      <c r="B387" s="67"/>
      <c r="C387" s="88">
        <v>4240</v>
      </c>
      <c r="D387" s="142">
        <f>700+2</f>
        <v>702</v>
      </c>
      <c r="E387" s="142"/>
      <c r="F387" s="142"/>
      <c r="G387" s="142"/>
      <c r="H387" s="31"/>
    </row>
    <row r="388" spans="1:8" ht="21.75" customHeight="1">
      <c r="A388" s="154"/>
      <c r="B388" s="67"/>
      <c r="C388" s="88">
        <v>4260</v>
      </c>
      <c r="D388" s="142">
        <f>20000</f>
        <v>20000</v>
      </c>
      <c r="E388" s="142"/>
      <c r="F388" s="142"/>
      <c r="G388" s="142"/>
      <c r="H388" s="31"/>
    </row>
    <row r="389" spans="1:8" ht="21.75" customHeight="1">
      <c r="A389" s="154"/>
      <c r="B389" s="67"/>
      <c r="C389" s="88">
        <v>4270</v>
      </c>
      <c r="D389" s="142">
        <f>4700+25000+4</f>
        <v>29704</v>
      </c>
      <c r="E389" s="142"/>
      <c r="F389" s="142"/>
      <c r="G389" s="142"/>
      <c r="H389" s="31"/>
    </row>
    <row r="390" spans="1:8" ht="21.75" customHeight="1">
      <c r="A390" s="154"/>
      <c r="B390" s="67"/>
      <c r="C390" s="88">
        <v>4280</v>
      </c>
      <c r="D390" s="142">
        <f>2325</f>
        <v>2325</v>
      </c>
      <c r="E390" s="142"/>
      <c r="F390" s="142"/>
      <c r="G390" s="142"/>
      <c r="H390" s="31"/>
    </row>
    <row r="391" spans="1:8" ht="21.75" customHeight="1">
      <c r="A391" s="154"/>
      <c r="B391" s="67"/>
      <c r="C391" s="88">
        <v>4360</v>
      </c>
      <c r="D391" s="142">
        <f>650+400</f>
        <v>1050</v>
      </c>
      <c r="E391" s="142"/>
      <c r="F391" s="142"/>
      <c r="G391" s="142"/>
      <c r="H391" s="31"/>
    </row>
    <row r="392" spans="1:8" ht="21.75" customHeight="1">
      <c r="A392" s="154"/>
      <c r="B392" s="67"/>
      <c r="C392" s="88">
        <v>4390</v>
      </c>
      <c r="D392" s="142">
        <f>529</f>
        <v>529</v>
      </c>
      <c r="E392" s="142"/>
      <c r="F392" s="142"/>
      <c r="G392" s="142"/>
      <c r="H392" s="31"/>
    </row>
    <row r="393" spans="1:8" ht="21.75" customHeight="1">
      <c r="A393" s="154"/>
      <c r="B393" s="67"/>
      <c r="C393" s="88">
        <v>4410</v>
      </c>
      <c r="D393" s="142">
        <f>4250+1800-2000</f>
        <v>4050</v>
      </c>
      <c r="E393" s="142"/>
      <c r="F393" s="142"/>
      <c r="G393" s="142"/>
      <c r="H393" s="31"/>
    </row>
    <row r="394" spans="1:8" ht="21.75" customHeight="1">
      <c r="A394" s="154"/>
      <c r="B394" s="67"/>
      <c r="C394" s="88">
        <v>4420</v>
      </c>
      <c r="D394" s="142">
        <f>311</f>
        <v>311</v>
      </c>
      <c r="E394" s="142"/>
      <c r="F394" s="142"/>
      <c r="G394" s="142"/>
      <c r="H394" s="31"/>
    </row>
    <row r="395" spans="1:8" ht="21.75" customHeight="1">
      <c r="A395" s="154"/>
      <c r="B395" s="67"/>
      <c r="C395" s="88">
        <v>4430</v>
      </c>
      <c r="D395" s="142">
        <f>1371</f>
        <v>1371</v>
      </c>
      <c r="E395" s="142"/>
      <c r="F395" s="142"/>
      <c r="G395" s="142"/>
      <c r="H395" s="31"/>
    </row>
    <row r="396" spans="1:8" ht="21.75" customHeight="1">
      <c r="A396" s="154"/>
      <c r="B396" s="67"/>
      <c r="C396" s="88">
        <v>4440</v>
      </c>
      <c r="D396" s="142">
        <f>12898-342</f>
        <v>12556</v>
      </c>
      <c r="E396" s="142"/>
      <c r="F396" s="142"/>
      <c r="G396" s="142"/>
      <c r="H396" s="31"/>
    </row>
    <row r="397" spans="1:8" ht="21.75" customHeight="1">
      <c r="A397" s="154"/>
      <c r="B397" s="67"/>
      <c r="C397" s="88">
        <v>4510</v>
      </c>
      <c r="D397" s="142">
        <f>300+700</f>
        <v>1000</v>
      </c>
      <c r="E397" s="142"/>
      <c r="F397" s="142"/>
      <c r="G397" s="142"/>
      <c r="H397" s="31"/>
    </row>
    <row r="398" spans="1:8" ht="21.75" customHeight="1">
      <c r="A398" s="154"/>
      <c r="B398" s="67"/>
      <c r="C398" s="88">
        <v>4520</v>
      </c>
      <c r="D398" s="142">
        <f>1000</f>
        <v>1000</v>
      </c>
      <c r="E398" s="142"/>
      <c r="F398" s="142"/>
      <c r="G398" s="142"/>
      <c r="H398" s="31"/>
    </row>
    <row r="399" spans="1:8" ht="21.75" customHeight="1">
      <c r="A399" s="154"/>
      <c r="B399" s="67"/>
      <c r="C399" s="88">
        <v>4700</v>
      </c>
      <c r="D399" s="142">
        <f>1600</f>
        <v>1600</v>
      </c>
      <c r="E399" s="142"/>
      <c r="F399" s="142"/>
      <c r="G399" s="142"/>
      <c r="H399" s="31"/>
    </row>
    <row r="400" spans="1:8" ht="21.75" customHeight="1">
      <c r="A400" s="154"/>
      <c r="B400" s="92"/>
      <c r="C400" s="88">
        <v>6050</v>
      </c>
      <c r="D400" s="142">
        <f>20652</f>
        <v>20652</v>
      </c>
      <c r="E400" s="142"/>
      <c r="F400" s="142"/>
      <c r="G400" s="142"/>
      <c r="H400" s="31"/>
    </row>
    <row r="401" spans="1:8" ht="21.75" customHeight="1">
      <c r="A401" s="67"/>
      <c r="B401" s="81" t="s">
        <v>66</v>
      </c>
      <c r="C401" s="88"/>
      <c r="D401" s="142">
        <f>SUM(D402:D420)</f>
        <v>151751</v>
      </c>
      <c r="E401" s="142">
        <f>SUM(E402:E420)</f>
        <v>0</v>
      </c>
      <c r="F401" s="142">
        <f>SUM(F402:F420)</f>
        <v>0</v>
      </c>
      <c r="G401" s="142">
        <f>SUM(G402:G420)</f>
        <v>0</v>
      </c>
      <c r="H401" s="31"/>
    </row>
    <row r="402" spans="1:8" ht="21.75" customHeight="1">
      <c r="A402" s="67"/>
      <c r="B402" s="137"/>
      <c r="C402" s="88">
        <v>3020</v>
      </c>
      <c r="D402" s="142">
        <f>2175</f>
        <v>2175</v>
      </c>
      <c r="E402" s="142"/>
      <c r="F402" s="142"/>
      <c r="G402" s="142"/>
      <c r="H402" s="31"/>
    </row>
    <row r="403" spans="1:8" ht="21.75" customHeight="1">
      <c r="A403" s="67"/>
      <c r="B403" s="137"/>
      <c r="C403" s="88">
        <v>4010</v>
      </c>
      <c r="D403" s="142">
        <f>1900+103057</f>
        <v>104957</v>
      </c>
      <c r="E403" s="142"/>
      <c r="F403" s="142"/>
      <c r="G403" s="142"/>
      <c r="H403" s="31"/>
    </row>
    <row r="404" spans="1:8" ht="21.75" customHeight="1">
      <c r="A404" s="67"/>
      <c r="B404" s="137"/>
      <c r="C404" s="88">
        <v>4110</v>
      </c>
      <c r="D404" s="142">
        <f>484+3936</f>
        <v>4420</v>
      </c>
      <c r="E404" s="142"/>
      <c r="F404" s="142"/>
      <c r="G404" s="142"/>
      <c r="H404" s="31"/>
    </row>
    <row r="405" spans="1:8" ht="21.75" customHeight="1">
      <c r="A405" s="67"/>
      <c r="B405" s="137"/>
      <c r="C405" s="88">
        <v>4120</v>
      </c>
      <c r="D405" s="142">
        <f>241+4752</f>
        <v>4993</v>
      </c>
      <c r="E405" s="142"/>
      <c r="F405" s="142"/>
      <c r="G405" s="142"/>
      <c r="H405" s="31"/>
    </row>
    <row r="406" spans="1:8" ht="21.75" customHeight="1">
      <c r="A406" s="67"/>
      <c r="B406" s="137"/>
      <c r="C406" s="88">
        <v>4170</v>
      </c>
      <c r="D406" s="142">
        <f>300+405</f>
        <v>705</v>
      </c>
      <c r="E406" s="142"/>
      <c r="F406" s="142"/>
      <c r="G406" s="142"/>
      <c r="H406" s="31"/>
    </row>
    <row r="407" spans="1:8" ht="21.75" customHeight="1">
      <c r="A407" s="67"/>
      <c r="B407" s="137"/>
      <c r="C407" s="88">
        <v>4190</v>
      </c>
      <c r="D407" s="142">
        <f>23</f>
        <v>23</v>
      </c>
      <c r="E407" s="142"/>
      <c r="F407" s="142"/>
      <c r="G407" s="142"/>
      <c r="H407" s="31"/>
    </row>
    <row r="408" spans="1:8" ht="21.75" customHeight="1">
      <c r="A408" s="67"/>
      <c r="B408" s="137"/>
      <c r="C408" s="88">
        <v>4210</v>
      </c>
      <c r="D408" s="142">
        <f>4639</f>
        <v>4639</v>
      </c>
      <c r="E408" s="142"/>
      <c r="F408" s="142"/>
      <c r="G408" s="142"/>
      <c r="H408" s="31"/>
    </row>
    <row r="409" spans="1:8" ht="21.75" customHeight="1">
      <c r="A409" s="67"/>
      <c r="B409" s="137"/>
      <c r="C409" s="88">
        <v>4240</v>
      </c>
      <c r="D409" s="142">
        <f>2502</f>
        <v>2502</v>
      </c>
      <c r="E409" s="142"/>
      <c r="F409" s="142"/>
      <c r="G409" s="142"/>
      <c r="H409" s="31"/>
    </row>
    <row r="410" spans="1:8" ht="21.75" customHeight="1">
      <c r="A410" s="67"/>
      <c r="B410" s="137"/>
      <c r="C410" s="88">
        <v>4260</v>
      </c>
      <c r="D410" s="142">
        <f>5021</f>
        <v>5021</v>
      </c>
      <c r="E410" s="142"/>
      <c r="F410" s="142"/>
      <c r="G410" s="142"/>
      <c r="H410" s="31"/>
    </row>
    <row r="411" spans="1:8" ht="21.75" customHeight="1">
      <c r="A411" s="67"/>
      <c r="B411" s="137"/>
      <c r="C411" s="88">
        <v>4270</v>
      </c>
      <c r="D411" s="142">
        <f>2098+4789</f>
        <v>6887</v>
      </c>
      <c r="E411" s="142"/>
      <c r="F411" s="142"/>
      <c r="G411" s="142"/>
      <c r="H411" s="31"/>
    </row>
    <row r="412" spans="1:8" ht="21.75" customHeight="1">
      <c r="A412" s="67"/>
      <c r="B412" s="137"/>
      <c r="C412" s="88">
        <v>4280</v>
      </c>
      <c r="D412" s="142">
        <f>343</f>
        <v>343</v>
      </c>
      <c r="E412" s="142"/>
      <c r="F412" s="142"/>
      <c r="G412" s="142"/>
      <c r="H412" s="31"/>
    </row>
    <row r="413" spans="1:8" ht="21.75" customHeight="1">
      <c r="A413" s="67"/>
      <c r="B413" s="137"/>
      <c r="C413" s="88">
        <v>4300</v>
      </c>
      <c r="D413" s="142">
        <f>950</f>
        <v>950</v>
      </c>
      <c r="E413" s="142"/>
      <c r="F413" s="142"/>
      <c r="G413" s="142"/>
      <c r="H413" s="31"/>
    </row>
    <row r="414" spans="1:8" ht="21.75" customHeight="1">
      <c r="A414" s="67"/>
      <c r="B414" s="137"/>
      <c r="C414" s="88">
        <v>4360</v>
      </c>
      <c r="D414" s="142">
        <f>802</f>
        <v>802</v>
      </c>
      <c r="E414" s="142"/>
      <c r="F414" s="142"/>
      <c r="G414" s="142"/>
      <c r="H414" s="31"/>
    </row>
    <row r="415" spans="1:8" ht="21.75" customHeight="1">
      <c r="A415" s="67"/>
      <c r="B415" s="137"/>
      <c r="C415" s="88">
        <v>4390</v>
      </c>
      <c r="D415" s="142">
        <f>79+1110</f>
        <v>1189</v>
      </c>
      <c r="E415" s="142"/>
      <c r="F415" s="142"/>
      <c r="G415" s="142"/>
      <c r="H415" s="31"/>
    </row>
    <row r="416" spans="1:8" ht="21.75" customHeight="1">
      <c r="A416" s="67"/>
      <c r="B416" s="137"/>
      <c r="C416" s="88">
        <v>4410</v>
      </c>
      <c r="D416" s="142">
        <f>1204+118</f>
        <v>1322</v>
      </c>
      <c r="E416" s="142"/>
      <c r="F416" s="142"/>
      <c r="G416" s="142"/>
      <c r="H416" s="31"/>
    </row>
    <row r="417" spans="1:8" ht="21.75" customHeight="1">
      <c r="A417" s="67"/>
      <c r="B417" s="137"/>
      <c r="C417" s="88">
        <v>4430</v>
      </c>
      <c r="D417" s="142">
        <f>83+380</f>
        <v>463</v>
      </c>
      <c r="E417" s="142"/>
      <c r="F417" s="142"/>
      <c r="G417" s="142"/>
      <c r="H417" s="31"/>
    </row>
    <row r="418" spans="1:8" ht="21.75" customHeight="1">
      <c r="A418" s="67"/>
      <c r="B418" s="137"/>
      <c r="C418" s="88">
        <v>4440</v>
      </c>
      <c r="D418" s="142">
        <f>9931</f>
        <v>9931</v>
      </c>
      <c r="E418" s="142"/>
      <c r="F418" s="142"/>
      <c r="G418" s="142"/>
      <c r="H418" s="31"/>
    </row>
    <row r="419" spans="1:8" ht="21.75" customHeight="1">
      <c r="A419" s="67"/>
      <c r="B419" s="137"/>
      <c r="C419" s="88">
        <v>4510</v>
      </c>
      <c r="D419" s="142">
        <f>70</f>
        <v>70</v>
      </c>
      <c r="E419" s="142"/>
      <c r="F419" s="142"/>
      <c r="G419" s="142"/>
      <c r="H419" s="31"/>
    </row>
    <row r="420" spans="1:8" ht="21.75" customHeight="1">
      <c r="A420" s="67"/>
      <c r="B420" s="137"/>
      <c r="C420" s="88">
        <v>4700</v>
      </c>
      <c r="D420" s="142">
        <f>249+110</f>
        <v>359</v>
      </c>
      <c r="E420" s="142"/>
      <c r="F420" s="142"/>
      <c r="G420" s="142"/>
      <c r="H420" s="31"/>
    </row>
    <row r="421" spans="1:8" ht="21.75" customHeight="1">
      <c r="A421" s="154"/>
      <c r="B421" s="81" t="s">
        <v>122</v>
      </c>
      <c r="C421" s="88"/>
      <c r="D421" s="80">
        <f>SUM(D422:D431)</f>
        <v>15116</v>
      </c>
      <c r="E421" s="80">
        <f>SUM(E422:E431)</f>
        <v>0</v>
      </c>
      <c r="F421" s="80">
        <f>SUM(F422:F431)</f>
        <v>4413</v>
      </c>
      <c r="G421" s="80">
        <f>SUM(G422:G431)</f>
        <v>0</v>
      </c>
      <c r="H421" s="31"/>
    </row>
    <row r="422" spans="1:8" ht="21.75" customHeight="1">
      <c r="A422" s="154"/>
      <c r="B422" s="62"/>
      <c r="C422" s="88">
        <v>3020</v>
      </c>
      <c r="D422" s="142"/>
      <c r="E422" s="142"/>
      <c r="F422" s="142">
        <f>2640</f>
        <v>2640</v>
      </c>
      <c r="G422" s="142"/>
      <c r="H422" s="31"/>
    </row>
    <row r="423" spans="1:8" ht="21.75" customHeight="1">
      <c r="A423" s="154"/>
      <c r="B423" s="67"/>
      <c r="C423" s="88">
        <v>4010</v>
      </c>
      <c r="D423" s="142">
        <f>700+8500</f>
        <v>9200</v>
      </c>
      <c r="E423" s="142"/>
      <c r="F423" s="142"/>
      <c r="G423" s="142"/>
      <c r="H423" s="31"/>
    </row>
    <row r="424" spans="1:8" ht="21.75" customHeight="1">
      <c r="A424" s="154"/>
      <c r="B424" s="67"/>
      <c r="C424" s="88">
        <v>4110</v>
      </c>
      <c r="D424" s="142">
        <f>500</f>
        <v>500</v>
      </c>
      <c r="E424" s="142"/>
      <c r="F424" s="142"/>
      <c r="G424" s="142"/>
      <c r="H424" s="31"/>
    </row>
    <row r="425" spans="1:8" ht="21.75" customHeight="1">
      <c r="A425" s="154"/>
      <c r="B425" s="67"/>
      <c r="C425" s="88">
        <v>4120</v>
      </c>
      <c r="D425" s="142">
        <f>1450+400</f>
        <v>1850</v>
      </c>
      <c r="E425" s="142"/>
      <c r="F425" s="142"/>
      <c r="G425" s="142"/>
      <c r="H425" s="31"/>
    </row>
    <row r="426" spans="1:8" ht="21.75" customHeight="1">
      <c r="A426" s="154"/>
      <c r="B426" s="67"/>
      <c r="C426" s="88">
        <v>4210</v>
      </c>
      <c r="D426" s="142"/>
      <c r="E426" s="142"/>
      <c r="F426" s="142">
        <f>1690</f>
        <v>1690</v>
      </c>
      <c r="G426" s="142"/>
      <c r="H426" s="31"/>
    </row>
    <row r="427" spans="1:8" ht="21.75" customHeight="1">
      <c r="A427" s="154"/>
      <c r="B427" s="67"/>
      <c r="C427" s="88">
        <v>4280</v>
      </c>
      <c r="D427" s="142">
        <f>83</f>
        <v>83</v>
      </c>
      <c r="E427" s="142"/>
      <c r="F427" s="142"/>
      <c r="G427" s="142"/>
      <c r="H427" s="31"/>
    </row>
    <row r="428" spans="1:8" ht="21.75" customHeight="1">
      <c r="A428" s="154"/>
      <c r="B428" s="67"/>
      <c r="C428" s="88">
        <v>4300</v>
      </c>
      <c r="D428" s="142">
        <f>2650</f>
        <v>2650</v>
      </c>
      <c r="E428" s="142"/>
      <c r="F428" s="142"/>
      <c r="G428" s="142"/>
      <c r="H428" s="31"/>
    </row>
    <row r="429" spans="1:8" ht="21.75" customHeight="1">
      <c r="A429" s="154"/>
      <c r="B429" s="67"/>
      <c r="C429" s="88">
        <v>4360</v>
      </c>
      <c r="D429" s="142">
        <f>40+400</f>
        <v>440</v>
      </c>
      <c r="E429" s="142"/>
      <c r="F429" s="142"/>
      <c r="G429" s="142"/>
      <c r="H429" s="31"/>
    </row>
    <row r="430" spans="1:8" ht="21.75" customHeight="1">
      <c r="A430" s="154"/>
      <c r="B430" s="67"/>
      <c r="C430" s="88">
        <v>4440</v>
      </c>
      <c r="D430" s="142"/>
      <c r="E430" s="142"/>
      <c r="F430" s="142">
        <f>83</f>
        <v>83</v>
      </c>
      <c r="G430" s="142"/>
      <c r="H430" s="31"/>
    </row>
    <row r="431" spans="1:8" ht="21.75" customHeight="1">
      <c r="A431" s="154"/>
      <c r="B431" s="67"/>
      <c r="C431" s="88">
        <v>4700</v>
      </c>
      <c r="D431" s="142">
        <f>393</f>
        <v>393</v>
      </c>
      <c r="E431" s="142"/>
      <c r="F431" s="142"/>
      <c r="G431" s="142"/>
      <c r="H431" s="31"/>
    </row>
    <row r="432" spans="1:8" ht="21.75" customHeight="1">
      <c r="A432" s="154"/>
      <c r="B432" s="81" t="s">
        <v>127</v>
      </c>
      <c r="C432" s="88"/>
      <c r="D432" s="80">
        <f>SUM(D433:D434)</f>
        <v>2738</v>
      </c>
      <c r="E432" s="80">
        <f>SUM(E433:E434)</f>
        <v>0</v>
      </c>
      <c r="F432" s="80">
        <f>SUM(F433:F434)</f>
        <v>0</v>
      </c>
      <c r="G432" s="80">
        <f>SUM(G433:G434)</f>
        <v>0</v>
      </c>
      <c r="H432" s="31"/>
    </row>
    <row r="433" spans="1:8" ht="21.75" customHeight="1">
      <c r="A433" s="154"/>
      <c r="B433" s="62"/>
      <c r="C433" s="88">
        <v>4210</v>
      </c>
      <c r="D433" s="142">
        <f>100</f>
        <v>100</v>
      </c>
      <c r="E433" s="142"/>
      <c r="F433" s="142"/>
      <c r="G433" s="142"/>
      <c r="H433" s="31"/>
    </row>
    <row r="434" spans="1:8" ht="21.75" customHeight="1">
      <c r="A434" s="154"/>
      <c r="B434" s="67"/>
      <c r="C434" s="88">
        <v>4240</v>
      </c>
      <c r="D434" s="142">
        <f>2638</f>
        <v>2638</v>
      </c>
      <c r="E434" s="142"/>
      <c r="F434" s="142"/>
      <c r="G434" s="142"/>
      <c r="H434" s="31"/>
    </row>
    <row r="435" spans="1:8" ht="21.75" customHeight="1">
      <c r="A435" s="154"/>
      <c r="B435" s="81" t="s">
        <v>58</v>
      </c>
      <c r="C435" s="88"/>
      <c r="D435" s="80">
        <f>SUM(D436:D440)</f>
        <v>3285</v>
      </c>
      <c r="E435" s="80">
        <f>SUM(E436:E440)</f>
        <v>0</v>
      </c>
      <c r="F435" s="80">
        <f>SUM(F436:F440)</f>
        <v>3285</v>
      </c>
      <c r="G435" s="80">
        <f>SUM(G436:G440)</f>
        <v>0</v>
      </c>
      <c r="H435" s="31"/>
    </row>
    <row r="436" spans="1:8" ht="21.75" customHeight="1">
      <c r="A436" s="154"/>
      <c r="B436" s="62"/>
      <c r="C436" s="162">
        <v>4110</v>
      </c>
      <c r="D436" s="142">
        <f>547</f>
        <v>547</v>
      </c>
      <c r="E436" s="142"/>
      <c r="F436" s="142"/>
      <c r="G436" s="142"/>
      <c r="H436" s="31"/>
    </row>
    <row r="437" spans="1:8" ht="21.75" customHeight="1">
      <c r="A437" s="154"/>
      <c r="B437" s="67"/>
      <c r="C437" s="162">
        <v>4120</v>
      </c>
      <c r="D437" s="142"/>
      <c r="E437" s="142"/>
      <c r="F437" s="142">
        <f>547</f>
        <v>547</v>
      </c>
      <c r="G437" s="142"/>
      <c r="H437" s="31"/>
    </row>
    <row r="438" spans="1:8" ht="21.75" customHeight="1">
      <c r="A438" s="154"/>
      <c r="B438" s="67"/>
      <c r="C438" s="88">
        <v>4210</v>
      </c>
      <c r="D438" s="142">
        <f>400</f>
        <v>400</v>
      </c>
      <c r="E438" s="142"/>
      <c r="F438" s="142"/>
      <c r="G438" s="142"/>
      <c r="H438" s="31"/>
    </row>
    <row r="439" spans="1:8" ht="21.75" customHeight="1">
      <c r="A439" s="154"/>
      <c r="B439" s="67"/>
      <c r="C439" s="88">
        <v>4300</v>
      </c>
      <c r="D439" s="142"/>
      <c r="E439" s="142"/>
      <c r="F439" s="142">
        <f>1595+1143</f>
        <v>2738</v>
      </c>
      <c r="G439" s="142"/>
      <c r="H439" s="31"/>
    </row>
    <row r="440" spans="1:8" ht="21.75" customHeight="1">
      <c r="A440" s="154"/>
      <c r="B440" s="67"/>
      <c r="C440" s="88">
        <v>4700</v>
      </c>
      <c r="D440" s="142">
        <f>1195+1143</f>
        <v>2338</v>
      </c>
      <c r="E440" s="142"/>
      <c r="F440" s="142"/>
      <c r="G440" s="142"/>
      <c r="H440" s="31"/>
    </row>
    <row r="441" spans="1:8" ht="21.75" customHeight="1">
      <c r="A441" s="154"/>
      <c r="B441" s="81" t="s">
        <v>106</v>
      </c>
      <c r="C441" s="88"/>
      <c r="D441" s="80">
        <f>SUM(D442:D451)</f>
        <v>1648</v>
      </c>
      <c r="E441" s="80">
        <f>SUM(E442:E451)</f>
        <v>0</v>
      </c>
      <c r="F441" s="80">
        <f>SUM(F442:F451)</f>
        <v>6053</v>
      </c>
      <c r="G441" s="80">
        <f>SUM(G442:G451)</f>
        <v>0</v>
      </c>
      <c r="H441" s="31"/>
    </row>
    <row r="442" spans="1:8" ht="21.75" customHeight="1">
      <c r="A442" s="154"/>
      <c r="B442" s="62"/>
      <c r="C442" s="88">
        <v>3020</v>
      </c>
      <c r="D442" s="142">
        <f>185</f>
        <v>185</v>
      </c>
      <c r="E442" s="142"/>
      <c r="F442" s="142"/>
      <c r="G442" s="142"/>
      <c r="H442" s="31"/>
    </row>
    <row r="443" spans="1:8" ht="21.75" customHeight="1">
      <c r="A443" s="154"/>
      <c r="B443" s="67"/>
      <c r="C443" s="88">
        <v>4010</v>
      </c>
      <c r="D443" s="142"/>
      <c r="E443" s="142"/>
      <c r="F443" s="142">
        <f>2800</f>
        <v>2800</v>
      </c>
      <c r="G443" s="142"/>
      <c r="H443" s="31"/>
    </row>
    <row r="444" spans="1:8" ht="21.75" customHeight="1">
      <c r="A444" s="154"/>
      <c r="B444" s="67"/>
      <c r="C444" s="88">
        <v>4110</v>
      </c>
      <c r="D444" s="142"/>
      <c r="E444" s="142"/>
      <c r="F444" s="142">
        <f>2700</f>
        <v>2700</v>
      </c>
      <c r="G444" s="142"/>
      <c r="H444" s="31"/>
    </row>
    <row r="445" spans="1:8" ht="21.75" customHeight="1">
      <c r="A445" s="154"/>
      <c r="B445" s="67"/>
      <c r="C445" s="88">
        <v>4120</v>
      </c>
      <c r="D445" s="142">
        <f>652</f>
        <v>652</v>
      </c>
      <c r="E445" s="142"/>
      <c r="F445" s="142"/>
      <c r="G445" s="142"/>
      <c r="H445" s="31"/>
    </row>
    <row r="446" spans="1:8" ht="21.75" customHeight="1">
      <c r="A446" s="154"/>
      <c r="B446" s="67"/>
      <c r="C446" s="88">
        <v>4210</v>
      </c>
      <c r="D446" s="142"/>
      <c r="E446" s="142"/>
      <c r="F446" s="142">
        <f>500</f>
        <v>500</v>
      </c>
      <c r="G446" s="142"/>
      <c r="H446" s="31"/>
    </row>
    <row r="447" spans="1:8" ht="21.75" customHeight="1">
      <c r="A447" s="154"/>
      <c r="B447" s="67"/>
      <c r="C447" s="88">
        <v>4270</v>
      </c>
      <c r="D447" s="142">
        <f>1</f>
        <v>1</v>
      </c>
      <c r="E447" s="142"/>
      <c r="F447" s="142"/>
      <c r="G447" s="142"/>
      <c r="H447" s="31"/>
    </row>
    <row r="448" spans="1:8" ht="21.75" customHeight="1">
      <c r="A448" s="154"/>
      <c r="B448" s="67"/>
      <c r="C448" s="88">
        <v>4280</v>
      </c>
      <c r="D448" s="142">
        <f>190</f>
        <v>190</v>
      </c>
      <c r="E448" s="142"/>
      <c r="F448" s="142"/>
      <c r="G448" s="142"/>
      <c r="H448" s="31"/>
    </row>
    <row r="449" spans="1:8" ht="21.75" customHeight="1">
      <c r="A449" s="154"/>
      <c r="B449" s="67"/>
      <c r="C449" s="88">
        <v>4440</v>
      </c>
      <c r="D449" s="142"/>
      <c r="E449" s="142"/>
      <c r="F449" s="142">
        <f>53</f>
        <v>53</v>
      </c>
      <c r="G449" s="142"/>
      <c r="H449" s="31"/>
    </row>
    <row r="450" spans="1:8" ht="21.75" customHeight="1">
      <c r="A450" s="154"/>
      <c r="B450" s="67"/>
      <c r="C450" s="88">
        <v>4520</v>
      </c>
      <c r="D450" s="142">
        <f>90</f>
        <v>90</v>
      </c>
      <c r="E450" s="142"/>
      <c r="F450" s="142"/>
      <c r="G450" s="142"/>
      <c r="H450" s="31"/>
    </row>
    <row r="451" spans="1:8" ht="21.75" customHeight="1">
      <c r="A451" s="154"/>
      <c r="B451" s="67"/>
      <c r="C451" s="88">
        <v>4700</v>
      </c>
      <c r="D451" s="142">
        <f>530</f>
        <v>530</v>
      </c>
      <c r="E451" s="142"/>
      <c r="F451" s="142"/>
      <c r="G451" s="142"/>
      <c r="H451" s="31"/>
    </row>
    <row r="452" spans="1:8" ht="21.75" customHeight="1">
      <c r="A452" s="154"/>
      <c r="B452" s="81" t="s">
        <v>92</v>
      </c>
      <c r="C452" s="88"/>
      <c r="D452" s="80">
        <f>SUM(D453:D456)</f>
        <v>8933</v>
      </c>
      <c r="E452" s="80">
        <f>SUM(E453:E456)</f>
        <v>0</v>
      </c>
      <c r="F452" s="80">
        <f>SUM(F453:F456)</f>
        <v>10507</v>
      </c>
      <c r="G452" s="80">
        <f>SUM(G453:G456)</f>
        <v>0</v>
      </c>
      <c r="H452" s="31"/>
    </row>
    <row r="453" spans="1:8" ht="21.75" customHeight="1">
      <c r="A453" s="154"/>
      <c r="B453" s="62"/>
      <c r="C453" s="88">
        <v>4010</v>
      </c>
      <c r="D453" s="142"/>
      <c r="E453" s="142"/>
      <c r="F453" s="142">
        <f>1400+8900</f>
        <v>10300</v>
      </c>
      <c r="G453" s="142"/>
      <c r="H453" s="31"/>
    </row>
    <row r="454" spans="1:8" ht="21.75" customHeight="1">
      <c r="A454" s="154"/>
      <c r="B454" s="67"/>
      <c r="C454" s="88">
        <v>4040</v>
      </c>
      <c r="D454" s="142">
        <f>133</f>
        <v>133</v>
      </c>
      <c r="E454" s="142"/>
      <c r="F454" s="142"/>
      <c r="G454" s="142"/>
      <c r="H454" s="31"/>
    </row>
    <row r="455" spans="1:8" ht="21.75" customHeight="1">
      <c r="A455" s="154"/>
      <c r="B455" s="67"/>
      <c r="C455" s="88">
        <v>4110</v>
      </c>
      <c r="D455" s="142"/>
      <c r="E455" s="142"/>
      <c r="F455" s="142">
        <f>207</f>
        <v>207</v>
      </c>
      <c r="G455" s="142"/>
      <c r="H455" s="31"/>
    </row>
    <row r="456" spans="1:8" ht="21.75" customHeight="1">
      <c r="A456" s="154"/>
      <c r="B456" s="67"/>
      <c r="C456" s="88">
        <v>4120</v>
      </c>
      <c r="D456" s="142">
        <f>8900-100</f>
        <v>8800</v>
      </c>
      <c r="E456" s="142"/>
      <c r="F456" s="142"/>
      <c r="G456" s="142"/>
      <c r="H456" s="31"/>
    </row>
    <row r="457" spans="1:8" ht="21.75" customHeight="1">
      <c r="A457" s="67"/>
      <c r="B457" s="81" t="s">
        <v>108</v>
      </c>
      <c r="C457" s="88"/>
      <c r="D457" s="142">
        <f>SUM(D458:D459)</f>
        <v>0</v>
      </c>
      <c r="E457" s="142">
        <f>SUM(E458:E459)</f>
        <v>0</v>
      </c>
      <c r="F457" s="142">
        <f>SUM(F458:F459)</f>
        <v>5933.469999999999</v>
      </c>
      <c r="G457" s="142">
        <f>SUM(G458:G459)</f>
        <v>5933.469999999999</v>
      </c>
      <c r="H457" s="31"/>
    </row>
    <row r="458" spans="1:8" ht="21.75" customHeight="1">
      <c r="A458" s="67"/>
      <c r="B458" s="62"/>
      <c r="C458" s="88">
        <v>4210</v>
      </c>
      <c r="D458" s="142"/>
      <c r="E458" s="142"/>
      <c r="F458" s="142">
        <v>58.73</v>
      </c>
      <c r="G458" s="142">
        <v>58.73</v>
      </c>
      <c r="H458" s="31"/>
    </row>
    <row r="459" spans="1:8" ht="21.75" customHeight="1">
      <c r="A459" s="67"/>
      <c r="B459" s="92"/>
      <c r="C459" s="88">
        <v>4240</v>
      </c>
      <c r="D459" s="142"/>
      <c r="E459" s="142"/>
      <c r="F459" s="142">
        <f>5874.74</f>
        <v>5874.74</v>
      </c>
      <c r="G459" s="142">
        <f>5874.74</f>
        <v>5874.74</v>
      </c>
      <c r="H459" s="31"/>
    </row>
    <row r="460" spans="1:8" ht="21.75" customHeight="1">
      <c r="A460" s="67"/>
      <c r="B460" s="81" t="s">
        <v>136</v>
      </c>
      <c r="C460" s="88"/>
      <c r="D460" s="142">
        <f>SUM(D461:D462)</f>
        <v>0.01</v>
      </c>
      <c r="E460" s="142">
        <f>SUM(E461:E462)</f>
        <v>0</v>
      </c>
      <c r="F460" s="142">
        <f>SUM(F461:F462)</f>
        <v>0.01</v>
      </c>
      <c r="G460" s="142">
        <f>SUM(G461:G462)</f>
        <v>0</v>
      </c>
      <c r="H460" s="31"/>
    </row>
    <row r="461" spans="1:8" ht="21.75" customHeight="1">
      <c r="A461" s="67"/>
      <c r="B461" s="62"/>
      <c r="C461" s="88">
        <v>4219</v>
      </c>
      <c r="D461" s="142"/>
      <c r="E461" s="142"/>
      <c r="F461" s="142">
        <v>0.01</v>
      </c>
      <c r="G461" s="142"/>
      <c r="H461" s="31"/>
    </row>
    <row r="462" spans="1:8" ht="21.75" customHeight="1">
      <c r="A462" s="67"/>
      <c r="B462" s="92"/>
      <c r="C462" s="88">
        <v>4249</v>
      </c>
      <c r="D462" s="142">
        <v>0.01</v>
      </c>
      <c r="E462" s="142"/>
      <c r="F462" s="142"/>
      <c r="G462" s="142"/>
      <c r="H462" s="31"/>
    </row>
    <row r="463" spans="1:8" ht="21.75" customHeight="1">
      <c r="A463" s="56" t="s">
        <v>39</v>
      </c>
      <c r="B463" s="56"/>
      <c r="C463" s="39"/>
      <c r="D463" s="42">
        <f>D464+D469</f>
        <v>3728</v>
      </c>
      <c r="E463" s="42">
        <f>E464+E469</f>
        <v>0</v>
      </c>
      <c r="F463" s="42">
        <f>F464+F469</f>
        <v>85228</v>
      </c>
      <c r="G463" s="42">
        <f>G464+G469</f>
        <v>0</v>
      </c>
      <c r="H463" s="31"/>
    </row>
    <row r="464" spans="1:8" ht="21.75" customHeight="1">
      <c r="A464" s="154"/>
      <c r="B464" s="81" t="s">
        <v>94</v>
      </c>
      <c r="C464" s="88"/>
      <c r="D464" s="80">
        <f>SUM(D465:D468)</f>
        <v>3728</v>
      </c>
      <c r="E464" s="80">
        <f>SUM(E465:E468)</f>
        <v>0</v>
      </c>
      <c r="F464" s="80">
        <f>SUM(F465:F468)</f>
        <v>73728</v>
      </c>
      <c r="G464" s="80">
        <f>SUM(G465:G468)</f>
        <v>0</v>
      </c>
      <c r="H464" s="31"/>
    </row>
    <row r="465" spans="1:8" ht="21.75" customHeight="1">
      <c r="A465" s="67"/>
      <c r="B465" s="137"/>
      <c r="C465" s="88">
        <v>4260</v>
      </c>
      <c r="D465" s="142">
        <f>1000</f>
        <v>1000</v>
      </c>
      <c r="E465" s="142"/>
      <c r="F465" s="142"/>
      <c r="G465" s="142"/>
      <c r="H465" s="31"/>
    </row>
    <row r="466" spans="1:8" ht="21.75" customHeight="1">
      <c r="A466" s="67"/>
      <c r="B466" s="137"/>
      <c r="C466" s="88">
        <v>4270</v>
      </c>
      <c r="D466" s="142">
        <f>2728</f>
        <v>2728</v>
      </c>
      <c r="E466" s="142"/>
      <c r="F466" s="142"/>
      <c r="G466" s="142"/>
      <c r="H466" s="31"/>
    </row>
    <row r="467" spans="1:8" ht="21.75" customHeight="1">
      <c r="A467" s="67"/>
      <c r="B467" s="137"/>
      <c r="C467" s="162">
        <v>4440</v>
      </c>
      <c r="D467" s="142"/>
      <c r="E467" s="142"/>
      <c r="F467" s="80">
        <f>3728</f>
        <v>3728</v>
      </c>
      <c r="G467" s="80"/>
      <c r="H467" s="31"/>
    </row>
    <row r="468" spans="1:8" ht="21.75" customHeight="1">
      <c r="A468" s="67"/>
      <c r="B468" s="137"/>
      <c r="C468" s="162">
        <v>6050</v>
      </c>
      <c r="D468" s="142"/>
      <c r="E468" s="142"/>
      <c r="F468" s="80">
        <f>70000</f>
        <v>70000</v>
      </c>
      <c r="G468" s="80"/>
      <c r="H468" s="31"/>
    </row>
    <row r="469" spans="1:8" ht="21.75" customHeight="1">
      <c r="A469" s="67"/>
      <c r="B469" s="81" t="s">
        <v>155</v>
      </c>
      <c r="C469" s="162">
        <v>4010</v>
      </c>
      <c r="D469" s="142"/>
      <c r="E469" s="142"/>
      <c r="F469" s="80">
        <f>11500</f>
        <v>11500</v>
      </c>
      <c r="G469" s="80"/>
      <c r="H469" s="31"/>
    </row>
    <row r="470" spans="1:8" ht="21.75" customHeight="1">
      <c r="A470" s="56" t="s">
        <v>97</v>
      </c>
      <c r="B470" s="56"/>
      <c r="C470" s="39"/>
      <c r="D470" s="42">
        <f>D471+D476</f>
        <v>433.08</v>
      </c>
      <c r="E470" s="42">
        <f>E471+E476</f>
        <v>433.08</v>
      </c>
      <c r="F470" s="42">
        <f>F471+F476</f>
        <v>20184.08</v>
      </c>
      <c r="G470" s="42">
        <f>G471+G476</f>
        <v>20184.08</v>
      </c>
      <c r="H470" s="31"/>
    </row>
    <row r="471" spans="1:8" ht="21.75" customHeight="1">
      <c r="A471" s="154"/>
      <c r="B471" s="81" t="s">
        <v>111</v>
      </c>
      <c r="C471" s="88"/>
      <c r="D471" s="80">
        <f>SUM(D472:D475)</f>
        <v>433.08</v>
      </c>
      <c r="E471" s="80">
        <f>SUM(E472:E475)</f>
        <v>433.08</v>
      </c>
      <c r="F471" s="80">
        <f>SUM(F472:F475)</f>
        <v>16134.08</v>
      </c>
      <c r="G471" s="80">
        <f>SUM(G472:G475)</f>
        <v>16134.08</v>
      </c>
      <c r="H471" s="31"/>
    </row>
    <row r="472" spans="1:8" ht="21.75" customHeight="1">
      <c r="A472" s="154"/>
      <c r="B472" s="64"/>
      <c r="C472" s="88">
        <v>4010</v>
      </c>
      <c r="D472" s="142"/>
      <c r="E472" s="142"/>
      <c r="F472" s="142">
        <v>12404</v>
      </c>
      <c r="G472" s="142">
        <v>12404</v>
      </c>
      <c r="H472" s="31"/>
    </row>
    <row r="473" spans="1:8" ht="21.75" customHeight="1">
      <c r="A473" s="154"/>
      <c r="B473" s="64"/>
      <c r="C473" s="88">
        <v>4110</v>
      </c>
      <c r="D473" s="142"/>
      <c r="E473" s="142"/>
      <c r="F473" s="142">
        <v>3297</v>
      </c>
      <c r="G473" s="142">
        <v>3297</v>
      </c>
      <c r="H473" s="31"/>
    </row>
    <row r="474" spans="1:8" ht="21.75" customHeight="1">
      <c r="A474" s="67"/>
      <c r="B474" s="137"/>
      <c r="C474" s="88">
        <v>4120</v>
      </c>
      <c r="D474" s="142">
        <f>433.08</f>
        <v>433.08</v>
      </c>
      <c r="E474" s="142">
        <f>433.08</f>
        <v>433.08</v>
      </c>
      <c r="F474" s="142"/>
      <c r="G474" s="142"/>
      <c r="H474" s="31"/>
    </row>
    <row r="475" spans="1:8" ht="21.75" customHeight="1">
      <c r="A475" s="67"/>
      <c r="B475" s="137"/>
      <c r="C475" s="88">
        <v>4440</v>
      </c>
      <c r="D475" s="142"/>
      <c r="E475" s="142"/>
      <c r="F475" s="142">
        <f>433.08</f>
        <v>433.08</v>
      </c>
      <c r="G475" s="142">
        <f>433.08</f>
        <v>433.08</v>
      </c>
      <c r="H475" s="31"/>
    </row>
    <row r="476" spans="1:8" ht="21.75" customHeight="1">
      <c r="A476" s="67"/>
      <c r="B476" s="81" t="s">
        <v>98</v>
      </c>
      <c r="C476" s="88">
        <v>3110</v>
      </c>
      <c r="D476" s="142"/>
      <c r="E476" s="142"/>
      <c r="F476" s="142">
        <v>4050</v>
      </c>
      <c r="G476" s="142">
        <v>4050</v>
      </c>
      <c r="H476" s="31"/>
    </row>
    <row r="477" spans="1:8" ht="21.75" customHeight="1">
      <c r="A477" s="56" t="s">
        <v>57</v>
      </c>
      <c r="B477" s="56"/>
      <c r="C477" s="39"/>
      <c r="D477" s="42">
        <f>D478+D482+D488+D501+D508</f>
        <v>85863</v>
      </c>
      <c r="E477" s="42">
        <f>E478+E482+E488+E501+E508</f>
        <v>0</v>
      </c>
      <c r="F477" s="42">
        <f>F478+F482+F488+F501+F508</f>
        <v>85863</v>
      </c>
      <c r="G477" s="42">
        <f>G478+G482+G488+G501+G508</f>
        <v>0</v>
      </c>
      <c r="H477" s="31"/>
    </row>
    <row r="478" spans="1:8" ht="21.75" customHeight="1">
      <c r="A478" s="140"/>
      <c r="B478" s="81" t="s">
        <v>73</v>
      </c>
      <c r="C478" s="88"/>
      <c r="D478" s="80">
        <f>SUM(D479:D481)</f>
        <v>398</v>
      </c>
      <c r="E478" s="80">
        <f>SUM(E479:E481)</f>
        <v>0</v>
      </c>
      <c r="F478" s="80">
        <f>SUM(F479:F481)</f>
        <v>2401</v>
      </c>
      <c r="G478" s="80">
        <f>SUM(G479:G481)</f>
        <v>0</v>
      </c>
      <c r="H478" s="31"/>
    </row>
    <row r="479" spans="1:8" ht="21.75" customHeight="1">
      <c r="A479" s="154"/>
      <c r="B479" s="137"/>
      <c r="C479" s="88">
        <v>3020</v>
      </c>
      <c r="D479" s="142">
        <f>200</f>
        <v>200</v>
      </c>
      <c r="E479" s="142"/>
      <c r="F479" s="142"/>
      <c r="G479" s="142"/>
      <c r="H479" s="31"/>
    </row>
    <row r="480" spans="1:8" ht="21.75" customHeight="1">
      <c r="A480" s="154"/>
      <c r="B480" s="64"/>
      <c r="C480" s="88">
        <v>4210</v>
      </c>
      <c r="D480" s="142">
        <f>198</f>
        <v>198</v>
      </c>
      <c r="E480" s="142"/>
      <c r="F480" s="142"/>
      <c r="G480" s="142"/>
      <c r="H480" s="31"/>
    </row>
    <row r="481" spans="1:8" ht="21.75" customHeight="1">
      <c r="A481" s="67"/>
      <c r="B481" s="137"/>
      <c r="C481" s="88">
        <v>4440</v>
      </c>
      <c r="D481" s="142"/>
      <c r="E481" s="142"/>
      <c r="F481" s="142">
        <f>2003+398</f>
        <v>2401</v>
      </c>
      <c r="G481" s="142"/>
      <c r="H481" s="31"/>
    </row>
    <row r="482" spans="1:8" ht="21.75" customHeight="1">
      <c r="A482" s="154"/>
      <c r="B482" s="81" t="s">
        <v>125</v>
      </c>
      <c r="C482" s="88"/>
      <c r="D482" s="80">
        <f>SUM(D483:D487)</f>
        <v>3847</v>
      </c>
      <c r="E482" s="80">
        <f>SUM(E483:E487)</f>
        <v>0</v>
      </c>
      <c r="F482" s="80">
        <f>SUM(F483:F487)</f>
        <v>1844</v>
      </c>
      <c r="G482" s="80">
        <f>SUM(G483:G487)</f>
        <v>0</v>
      </c>
      <c r="H482" s="31"/>
    </row>
    <row r="483" spans="1:8" ht="21.75" customHeight="1">
      <c r="A483" s="154"/>
      <c r="B483" s="64"/>
      <c r="C483" s="88">
        <v>3020</v>
      </c>
      <c r="D483" s="142"/>
      <c r="E483" s="142"/>
      <c r="F483" s="142">
        <f>394</f>
        <v>394</v>
      </c>
      <c r="G483" s="142"/>
      <c r="H483" s="31"/>
    </row>
    <row r="484" spans="1:8" ht="21.75" customHeight="1">
      <c r="A484" s="67"/>
      <c r="B484" s="137"/>
      <c r="C484" s="88">
        <v>4270</v>
      </c>
      <c r="D484" s="142">
        <f>698</f>
        <v>698</v>
      </c>
      <c r="E484" s="142"/>
      <c r="F484" s="142"/>
      <c r="G484" s="142"/>
      <c r="H484" s="31"/>
    </row>
    <row r="485" spans="1:8" ht="21.75" customHeight="1">
      <c r="A485" s="67"/>
      <c r="B485" s="137"/>
      <c r="C485" s="88">
        <v>4280</v>
      </c>
      <c r="D485" s="142">
        <f>2000</f>
        <v>2000</v>
      </c>
      <c r="E485" s="142"/>
      <c r="F485" s="142"/>
      <c r="G485" s="142"/>
      <c r="H485" s="31"/>
    </row>
    <row r="486" spans="1:8" ht="21.75" customHeight="1">
      <c r="A486" s="67"/>
      <c r="B486" s="137"/>
      <c r="C486" s="88">
        <v>4390</v>
      </c>
      <c r="D486" s="142">
        <f>1149</f>
        <v>1149</v>
      </c>
      <c r="E486" s="142"/>
      <c r="F486" s="142"/>
      <c r="G486" s="142"/>
      <c r="H486" s="31"/>
    </row>
    <row r="487" spans="1:8" ht="21.75" customHeight="1">
      <c r="A487" s="67"/>
      <c r="B487" s="137"/>
      <c r="C487" s="88">
        <v>4440</v>
      </c>
      <c r="D487" s="142"/>
      <c r="E487" s="142"/>
      <c r="F487" s="142">
        <f>1450</f>
        <v>1450</v>
      </c>
      <c r="G487" s="142"/>
      <c r="H487" s="31"/>
    </row>
    <row r="488" spans="1:8" ht="21.75" customHeight="1">
      <c r="A488" s="154"/>
      <c r="B488" s="81" t="s">
        <v>134</v>
      </c>
      <c r="C488" s="88"/>
      <c r="D488" s="80">
        <f>SUM(D489:D500)</f>
        <v>68916</v>
      </c>
      <c r="E488" s="80">
        <f>SUM(E489:E500)</f>
        <v>0</v>
      </c>
      <c r="F488" s="80">
        <f>SUM(F489:F500)</f>
        <v>68916</v>
      </c>
      <c r="G488" s="80">
        <f>SUM(G489:G500)</f>
        <v>0</v>
      </c>
      <c r="H488" s="31"/>
    </row>
    <row r="489" spans="1:8" ht="21.75" customHeight="1">
      <c r="A489" s="154"/>
      <c r="B489" s="64"/>
      <c r="C489" s="88">
        <v>4010</v>
      </c>
      <c r="D489" s="142"/>
      <c r="E489" s="142"/>
      <c r="F489" s="142">
        <f>60416</f>
        <v>60416</v>
      </c>
      <c r="G489" s="142"/>
      <c r="H489" s="31"/>
    </row>
    <row r="490" spans="1:8" ht="21.75" customHeight="1">
      <c r="A490" s="154"/>
      <c r="B490" s="64"/>
      <c r="C490" s="88">
        <v>4110</v>
      </c>
      <c r="D490" s="142"/>
      <c r="E490" s="142"/>
      <c r="F490" s="142">
        <f>7000</f>
        <v>7000</v>
      </c>
      <c r="G490" s="142"/>
      <c r="H490" s="31"/>
    </row>
    <row r="491" spans="1:8" ht="21.75" customHeight="1">
      <c r="A491" s="154"/>
      <c r="B491" s="64"/>
      <c r="C491" s="88">
        <v>4120</v>
      </c>
      <c r="D491" s="142">
        <f>8600</f>
        <v>8600</v>
      </c>
      <c r="E491" s="142"/>
      <c r="F491" s="142"/>
      <c r="G491" s="142"/>
      <c r="H491" s="31"/>
    </row>
    <row r="492" spans="1:8" ht="21.75" customHeight="1">
      <c r="A492" s="154"/>
      <c r="B492" s="64"/>
      <c r="C492" s="88">
        <v>4170</v>
      </c>
      <c r="D492" s="142">
        <f>1000</f>
        <v>1000</v>
      </c>
      <c r="E492" s="142"/>
      <c r="F492" s="142"/>
      <c r="G492" s="142"/>
      <c r="H492" s="31"/>
    </row>
    <row r="493" spans="1:8" ht="21.75" customHeight="1">
      <c r="A493" s="154"/>
      <c r="B493" s="64"/>
      <c r="C493" s="88">
        <v>4210</v>
      </c>
      <c r="D493" s="142"/>
      <c r="E493" s="142"/>
      <c r="F493" s="142">
        <f>1500</f>
        <v>1500</v>
      </c>
      <c r="G493" s="142"/>
      <c r="H493" s="31"/>
    </row>
    <row r="494" spans="1:8" ht="21.75" customHeight="1">
      <c r="A494" s="154"/>
      <c r="B494" s="64"/>
      <c r="C494" s="88">
        <v>4220</v>
      </c>
      <c r="D494" s="142">
        <f>45000</f>
        <v>45000</v>
      </c>
      <c r="E494" s="142"/>
      <c r="F494" s="142"/>
      <c r="G494" s="142"/>
      <c r="H494" s="31"/>
    </row>
    <row r="495" spans="1:8" ht="21.75" customHeight="1">
      <c r="A495" s="154"/>
      <c r="B495" s="64"/>
      <c r="C495" s="88">
        <v>4280</v>
      </c>
      <c r="D495" s="142">
        <f>3900</f>
        <v>3900</v>
      </c>
      <c r="E495" s="142"/>
      <c r="F495" s="142"/>
      <c r="G495" s="142"/>
      <c r="H495" s="31"/>
    </row>
    <row r="496" spans="1:8" ht="21.75" customHeight="1">
      <c r="A496" s="154"/>
      <c r="B496" s="64"/>
      <c r="C496" s="88">
        <v>4360</v>
      </c>
      <c r="D496" s="142">
        <f>2640</f>
        <v>2640</v>
      </c>
      <c r="E496" s="142"/>
      <c r="F496" s="142"/>
      <c r="G496" s="142"/>
      <c r="H496" s="31"/>
    </row>
    <row r="497" spans="1:8" ht="21.75" customHeight="1">
      <c r="A497" s="154"/>
      <c r="B497" s="64"/>
      <c r="C497" s="88">
        <v>4390</v>
      </c>
      <c r="D497" s="142">
        <f>1000</f>
        <v>1000</v>
      </c>
      <c r="E497" s="142"/>
      <c r="F497" s="142"/>
      <c r="G497" s="142"/>
      <c r="H497" s="31"/>
    </row>
    <row r="498" spans="1:8" ht="21.75" customHeight="1">
      <c r="A498" s="154"/>
      <c r="B498" s="64"/>
      <c r="C498" s="88">
        <v>4410</v>
      </c>
      <c r="D498" s="142">
        <f>300</f>
        <v>300</v>
      </c>
      <c r="E498" s="142"/>
      <c r="F498" s="142"/>
      <c r="G498" s="142"/>
      <c r="H498" s="31"/>
    </row>
    <row r="499" spans="1:8" ht="21.75" customHeight="1">
      <c r="A499" s="67"/>
      <c r="B499" s="137"/>
      <c r="C499" s="88">
        <v>4430</v>
      </c>
      <c r="D499" s="142">
        <f>726</f>
        <v>726</v>
      </c>
      <c r="E499" s="142"/>
      <c r="F499" s="142"/>
      <c r="G499" s="142"/>
      <c r="H499" s="31"/>
    </row>
    <row r="500" spans="1:8" ht="21.75" customHeight="1">
      <c r="A500" s="67"/>
      <c r="B500" s="137"/>
      <c r="C500" s="88">
        <v>4440</v>
      </c>
      <c r="D500" s="142">
        <f>5750</f>
        <v>5750</v>
      </c>
      <c r="E500" s="142"/>
      <c r="F500" s="142"/>
      <c r="G500" s="142"/>
      <c r="H500" s="31"/>
    </row>
    <row r="501" spans="1:8" ht="21.75" customHeight="1">
      <c r="A501" s="154"/>
      <c r="B501" s="81" t="s">
        <v>147</v>
      </c>
      <c r="C501" s="88"/>
      <c r="D501" s="80">
        <f>SUM(D502:D507)</f>
        <v>12602</v>
      </c>
      <c r="E501" s="80">
        <f>SUM(E502:E507)</f>
        <v>0</v>
      </c>
      <c r="F501" s="80">
        <f>SUM(F502:F507)</f>
        <v>12602</v>
      </c>
      <c r="G501" s="80">
        <f>SUM(G502:G507)</f>
        <v>0</v>
      </c>
      <c r="H501" s="31"/>
    </row>
    <row r="502" spans="1:8" ht="21.75" customHeight="1">
      <c r="A502" s="154"/>
      <c r="B502" s="64"/>
      <c r="C502" s="88">
        <v>4010</v>
      </c>
      <c r="D502" s="142"/>
      <c r="E502" s="142"/>
      <c r="F502" s="142">
        <f>5000</f>
        <v>5000</v>
      </c>
      <c r="G502" s="142"/>
      <c r="H502" s="31"/>
    </row>
    <row r="503" spans="1:8" ht="21.75" customHeight="1">
      <c r="A503" s="154"/>
      <c r="B503" s="64"/>
      <c r="C503" s="88">
        <v>4110</v>
      </c>
      <c r="D503" s="142"/>
      <c r="E503" s="142"/>
      <c r="F503" s="142">
        <f>7500</f>
        <v>7500</v>
      </c>
      <c r="G503" s="142"/>
      <c r="H503" s="31"/>
    </row>
    <row r="504" spans="1:8" ht="21.75" customHeight="1">
      <c r="A504" s="154"/>
      <c r="B504" s="64"/>
      <c r="C504" s="88">
        <v>4300</v>
      </c>
      <c r="D504" s="142">
        <f>10000</f>
        <v>10000</v>
      </c>
      <c r="E504" s="142"/>
      <c r="F504" s="142"/>
      <c r="G504" s="142"/>
      <c r="H504" s="31"/>
    </row>
    <row r="505" spans="1:8" ht="21.75" customHeight="1">
      <c r="A505" s="154"/>
      <c r="B505" s="64"/>
      <c r="C505" s="88">
        <v>4360</v>
      </c>
      <c r="D505" s="142">
        <f>602</f>
        <v>602</v>
      </c>
      <c r="E505" s="142"/>
      <c r="F505" s="142"/>
      <c r="G505" s="142"/>
      <c r="H505" s="31"/>
    </row>
    <row r="506" spans="1:8" ht="21.75" customHeight="1">
      <c r="A506" s="154"/>
      <c r="B506" s="64"/>
      <c r="C506" s="88">
        <v>4410</v>
      </c>
      <c r="D506" s="142">
        <f>2000</f>
        <v>2000</v>
      </c>
      <c r="E506" s="142"/>
      <c r="F506" s="142"/>
      <c r="G506" s="142"/>
      <c r="H506" s="31"/>
    </row>
    <row r="507" spans="1:8" ht="21.75" customHeight="1">
      <c r="A507" s="154"/>
      <c r="B507" s="64"/>
      <c r="C507" s="88">
        <v>4440</v>
      </c>
      <c r="D507" s="142"/>
      <c r="E507" s="142"/>
      <c r="F507" s="142">
        <f>102</f>
        <v>102</v>
      </c>
      <c r="G507" s="142"/>
      <c r="H507" s="31"/>
    </row>
    <row r="508" spans="1:8" ht="21.75" customHeight="1">
      <c r="A508" s="154"/>
      <c r="B508" s="81" t="s">
        <v>126</v>
      </c>
      <c r="C508" s="88"/>
      <c r="D508" s="80">
        <f>SUM(D509:D510)</f>
        <v>100</v>
      </c>
      <c r="E508" s="80">
        <f>SUM(E509:E510)</f>
        <v>0</v>
      </c>
      <c r="F508" s="80">
        <f>SUM(F509:F510)</f>
        <v>100</v>
      </c>
      <c r="G508" s="80">
        <f>SUM(G509:G510)</f>
        <v>0</v>
      </c>
      <c r="H508" s="31"/>
    </row>
    <row r="509" spans="1:8" ht="21.75" customHeight="1">
      <c r="A509" s="154"/>
      <c r="B509" s="64"/>
      <c r="C509" s="88">
        <v>4210</v>
      </c>
      <c r="D509" s="142">
        <f>100</f>
        <v>100</v>
      </c>
      <c r="E509" s="142"/>
      <c r="F509" s="142"/>
      <c r="G509" s="142"/>
      <c r="H509" s="31"/>
    </row>
    <row r="510" spans="1:8" ht="21.75" customHeight="1">
      <c r="A510" s="67"/>
      <c r="B510" s="137"/>
      <c r="C510" s="88">
        <v>4700</v>
      </c>
      <c r="D510" s="142"/>
      <c r="E510" s="142"/>
      <c r="F510" s="142">
        <f>100</f>
        <v>100</v>
      </c>
      <c r="G510" s="142"/>
      <c r="H510" s="31"/>
    </row>
    <row r="511" spans="1:8" ht="21.75" customHeight="1">
      <c r="A511" s="56" t="s">
        <v>71</v>
      </c>
      <c r="B511" s="56"/>
      <c r="C511" s="39"/>
      <c r="D511" s="42">
        <f>D512+D517</f>
        <v>43890</v>
      </c>
      <c r="E511" s="42">
        <f>E512+E517</f>
        <v>0</v>
      </c>
      <c r="F511" s="42">
        <f>F512+F517</f>
        <v>131486</v>
      </c>
      <c r="G511" s="42">
        <f>G512+G517</f>
        <v>0</v>
      </c>
      <c r="H511" s="31"/>
    </row>
    <row r="512" spans="1:8" ht="21.75" customHeight="1">
      <c r="A512" s="154"/>
      <c r="B512" s="81" t="s">
        <v>145</v>
      </c>
      <c r="C512" s="88"/>
      <c r="D512" s="142">
        <f>SUM(D513:D516)</f>
        <v>20000</v>
      </c>
      <c r="E512" s="142">
        <f>SUM(E513:E516)</f>
        <v>0</v>
      </c>
      <c r="F512" s="142">
        <f>SUM(F513:F516)</f>
        <v>127596</v>
      </c>
      <c r="G512" s="142">
        <f>SUM(G513:G516)</f>
        <v>0</v>
      </c>
      <c r="H512" s="31"/>
    </row>
    <row r="513" spans="1:8" ht="21.75" customHeight="1">
      <c r="A513" s="154"/>
      <c r="B513" s="137"/>
      <c r="C513" s="88">
        <v>4010</v>
      </c>
      <c r="D513" s="142"/>
      <c r="E513" s="142"/>
      <c r="F513" s="142">
        <v>87596</v>
      </c>
      <c r="G513" s="142"/>
      <c r="H513" s="31"/>
    </row>
    <row r="514" spans="1:8" ht="21.75" customHeight="1">
      <c r="A514" s="154"/>
      <c r="B514" s="137"/>
      <c r="C514" s="88">
        <v>4110</v>
      </c>
      <c r="D514" s="142"/>
      <c r="E514" s="142"/>
      <c r="F514" s="142">
        <f>10000</f>
        <v>10000</v>
      </c>
      <c r="G514" s="142"/>
      <c r="H514" s="31"/>
    </row>
    <row r="515" spans="1:8" ht="21.75" customHeight="1">
      <c r="A515" s="154"/>
      <c r="B515" s="137"/>
      <c r="C515" s="88">
        <v>4170</v>
      </c>
      <c r="D515" s="142"/>
      <c r="E515" s="142"/>
      <c r="F515" s="142">
        <f>30000</f>
        <v>30000</v>
      </c>
      <c r="G515" s="142"/>
      <c r="H515" s="31"/>
    </row>
    <row r="516" spans="1:8" ht="21.75" customHeight="1">
      <c r="A516" s="154"/>
      <c r="B516" s="137"/>
      <c r="C516" s="88">
        <v>4330</v>
      </c>
      <c r="D516" s="142">
        <f>20000</f>
        <v>20000</v>
      </c>
      <c r="E516" s="142"/>
      <c r="F516" s="142"/>
      <c r="G516" s="142"/>
      <c r="H516" s="31"/>
    </row>
    <row r="517" spans="1:8" ht="21.75" customHeight="1">
      <c r="A517" s="154"/>
      <c r="B517" s="81" t="s">
        <v>89</v>
      </c>
      <c r="C517" s="88"/>
      <c r="D517" s="80">
        <f>SUM(D518:D521)</f>
        <v>23890</v>
      </c>
      <c r="E517" s="80">
        <f>SUM(E518:E521)</f>
        <v>0</v>
      </c>
      <c r="F517" s="80">
        <f>SUM(F518:F521)</f>
        <v>3890</v>
      </c>
      <c r="G517" s="80">
        <f>SUM(G518:G521)</f>
        <v>0</v>
      </c>
      <c r="H517" s="31"/>
    </row>
    <row r="518" spans="1:8" ht="21.75" customHeight="1">
      <c r="A518" s="154"/>
      <c r="B518" s="137"/>
      <c r="C518" s="88">
        <v>3110</v>
      </c>
      <c r="D518" s="142">
        <f>20000</f>
        <v>20000</v>
      </c>
      <c r="E518" s="142"/>
      <c r="F518" s="142"/>
      <c r="G518" s="142"/>
      <c r="H518" s="31"/>
    </row>
    <row r="519" spans="1:8" ht="21.75" customHeight="1">
      <c r="A519" s="154"/>
      <c r="B519" s="64"/>
      <c r="C519" s="88">
        <v>4010</v>
      </c>
      <c r="D519" s="142"/>
      <c r="E519" s="142"/>
      <c r="F519" s="142">
        <f>2790</f>
        <v>2790</v>
      </c>
      <c r="G519" s="142"/>
      <c r="H519" s="31"/>
    </row>
    <row r="520" spans="1:8" ht="21.75" customHeight="1">
      <c r="A520" s="154"/>
      <c r="B520" s="64"/>
      <c r="C520" s="88">
        <v>4040</v>
      </c>
      <c r="D520" s="142">
        <f>3890</f>
        <v>3890</v>
      </c>
      <c r="E520" s="142"/>
      <c r="F520" s="142"/>
      <c r="G520" s="142"/>
      <c r="H520" s="31"/>
    </row>
    <row r="521" spans="1:8" ht="21.75" customHeight="1">
      <c r="A521" s="67"/>
      <c r="B521" s="137"/>
      <c r="C521" s="88">
        <v>4440</v>
      </c>
      <c r="D521" s="142"/>
      <c r="E521" s="142"/>
      <c r="F521" s="142">
        <f>1100</f>
        <v>1100</v>
      </c>
      <c r="G521" s="142"/>
      <c r="H521" s="31"/>
    </row>
    <row r="522" spans="1:10" s="33" customFormat="1" ht="21" customHeight="1">
      <c r="A522" s="79" t="s">
        <v>13</v>
      </c>
      <c r="B522" s="57"/>
      <c r="C522" s="26"/>
      <c r="D522" s="34">
        <f>D304+D307+D310+D315+D329+D339+D463+D470+D477+D511</f>
        <v>570945.5800000001</v>
      </c>
      <c r="E522" s="34">
        <f>E304+E307+E310+E315+E329+E339+E463+E470+E477+E511</f>
        <v>23017.890000000003</v>
      </c>
      <c r="F522" s="34">
        <f>F304+F307+F310+F315+F329+F339+F463+F470+F477+F511</f>
        <v>770866.32</v>
      </c>
      <c r="G522" s="34">
        <f>G304+G307+G310+G315+G329+G339+G463+G470+G477+G511</f>
        <v>53842.630000000005</v>
      </c>
      <c r="I522" s="38"/>
      <c r="J522" s="38"/>
    </row>
    <row r="523" spans="1:10" s="33" customFormat="1" ht="21" customHeight="1">
      <c r="A523" s="63"/>
      <c r="B523" s="64"/>
      <c r="C523" s="17"/>
      <c r="D523" s="37"/>
      <c r="E523" s="37"/>
      <c r="F523" s="37"/>
      <c r="G523" s="37"/>
      <c r="I523" s="38"/>
      <c r="J523" s="38"/>
    </row>
    <row r="524" spans="1:7" s="33" customFormat="1" ht="18" customHeight="1">
      <c r="A524" s="65" t="s">
        <v>164</v>
      </c>
      <c r="B524" s="137"/>
      <c r="C524" s="184"/>
      <c r="D524" s="185"/>
      <c r="E524" s="8"/>
      <c r="F524" s="185"/>
      <c r="G524" s="186"/>
    </row>
    <row r="525" spans="1:7" s="33" customFormat="1" ht="18" customHeight="1">
      <c r="A525" s="65"/>
      <c r="B525" s="137"/>
      <c r="C525" s="184"/>
      <c r="D525" s="8"/>
      <c r="E525" s="8"/>
      <c r="F525" s="186"/>
      <c r="G525" s="186"/>
    </row>
    <row r="526" spans="1:7" s="33" customFormat="1" ht="18" customHeight="1">
      <c r="A526" s="187" t="s">
        <v>100</v>
      </c>
      <c r="B526" s="188"/>
      <c r="C526" s="184"/>
      <c r="D526" s="8"/>
      <c r="E526" s="8"/>
      <c r="F526" s="186"/>
      <c r="G526" s="186"/>
    </row>
    <row r="527" spans="1:7" s="33" customFormat="1" ht="18" customHeight="1">
      <c r="A527" s="189" t="s">
        <v>101</v>
      </c>
      <c r="B527" s="188"/>
      <c r="C527" s="190"/>
      <c r="D527" s="191"/>
      <c r="E527" s="8"/>
      <c r="F527" s="186"/>
      <c r="G527" s="186"/>
    </row>
    <row r="528" spans="1:7" s="33" customFormat="1" ht="18" customHeight="1">
      <c r="A528" s="189"/>
      <c r="B528" s="188"/>
      <c r="C528" s="190"/>
      <c r="D528" s="191"/>
      <c r="E528" s="8"/>
      <c r="F528" s="186"/>
      <c r="G528" s="186"/>
    </row>
    <row r="529" spans="1:7" s="33" customFormat="1" ht="18" customHeight="1">
      <c r="A529" s="192" t="s">
        <v>140</v>
      </c>
      <c r="B529" s="193"/>
      <c r="C529" s="137"/>
      <c r="D529" s="158"/>
      <c r="E529" s="158"/>
      <c r="F529" s="158"/>
      <c r="G529" s="158"/>
    </row>
    <row r="530" spans="1:7" s="33" customFormat="1" ht="18" customHeight="1">
      <c r="A530" s="192"/>
      <c r="B530" s="193"/>
      <c r="C530" s="137"/>
      <c r="D530" s="158"/>
      <c r="E530" s="158"/>
      <c r="F530" s="158"/>
      <c r="G530" s="158"/>
    </row>
    <row r="531" spans="1:8" s="33" customFormat="1" ht="18" customHeight="1">
      <c r="A531" s="82" t="s">
        <v>102</v>
      </c>
      <c r="B531" s="193"/>
      <c r="C531" s="194"/>
      <c r="D531" s="158"/>
      <c r="E531" s="158"/>
      <c r="F531" s="158"/>
      <c r="G531" s="158"/>
      <c r="H531" s="195">
        <f>H533</f>
        <v>16000</v>
      </c>
    </row>
    <row r="532" spans="1:8" s="33" customFormat="1" ht="18" customHeight="1">
      <c r="A532" s="66" t="s">
        <v>4</v>
      </c>
      <c r="B532" s="86"/>
      <c r="C532" s="85"/>
      <c r="D532" s="191"/>
      <c r="E532" s="8"/>
      <c r="F532" s="186"/>
      <c r="G532" s="186"/>
      <c r="H532" s="38"/>
    </row>
    <row r="533" spans="1:8" s="33" customFormat="1" ht="18" customHeight="1">
      <c r="A533" s="196" t="s">
        <v>141</v>
      </c>
      <c r="B533" s="86"/>
      <c r="C533" s="85"/>
      <c r="D533" s="191"/>
      <c r="E533" s="8"/>
      <c r="F533" s="186"/>
      <c r="G533" s="186"/>
      <c r="H533" s="38">
        <f>H535</f>
        <v>16000</v>
      </c>
    </row>
    <row r="534" spans="1:8" s="33" customFormat="1" ht="18" customHeight="1">
      <c r="A534" s="196" t="s">
        <v>4</v>
      </c>
      <c r="B534" s="86"/>
      <c r="C534" s="85"/>
      <c r="D534" s="191"/>
      <c r="E534" s="8"/>
      <c r="F534" s="186"/>
      <c r="G534" s="186"/>
      <c r="H534" s="38"/>
    </row>
    <row r="535" spans="1:8" s="33" customFormat="1" ht="18" customHeight="1">
      <c r="A535" s="66"/>
      <c r="B535" s="200" t="s">
        <v>142</v>
      </c>
      <c r="C535" s="85"/>
      <c r="D535" s="87"/>
      <c r="E535" s="8"/>
      <c r="F535" s="186"/>
      <c r="G535" s="186"/>
      <c r="H535" s="83">
        <v>16000</v>
      </c>
    </row>
    <row r="536" spans="1:8" s="33" customFormat="1" ht="18" customHeight="1">
      <c r="A536" s="66"/>
      <c r="B536" s="201"/>
      <c r="C536" s="85"/>
      <c r="D536" s="87"/>
      <c r="E536" s="8"/>
      <c r="F536" s="186"/>
      <c r="G536" s="186"/>
      <c r="H536" s="83"/>
    </row>
    <row r="537" spans="1:7" s="33" customFormat="1" ht="18" customHeight="1">
      <c r="A537" s="189"/>
      <c r="B537" s="188"/>
      <c r="C537" s="190"/>
      <c r="D537" s="191"/>
      <c r="E537" s="8"/>
      <c r="F537" s="186"/>
      <c r="G537" s="186"/>
    </row>
    <row r="538" spans="1:7" s="33" customFormat="1" ht="18" customHeight="1">
      <c r="A538" s="192" t="s">
        <v>121</v>
      </c>
      <c r="B538" s="193"/>
      <c r="C538" s="137"/>
      <c r="D538" s="158"/>
      <c r="E538" s="158"/>
      <c r="F538" s="158"/>
      <c r="G538" s="158"/>
    </row>
    <row r="539" spans="1:7" s="33" customFormat="1" ht="18" customHeight="1">
      <c r="A539" s="192"/>
      <c r="B539" s="193"/>
      <c r="C539" s="137"/>
      <c r="D539" s="158"/>
      <c r="E539" s="158"/>
      <c r="F539" s="158"/>
      <c r="G539" s="158"/>
    </row>
    <row r="540" spans="1:8" s="33" customFormat="1" ht="18" customHeight="1">
      <c r="A540" s="82" t="s">
        <v>102</v>
      </c>
      <c r="B540" s="193"/>
      <c r="C540" s="194"/>
      <c r="D540" s="158"/>
      <c r="E540" s="158"/>
      <c r="F540" s="158"/>
      <c r="G540" s="158"/>
      <c r="H540" s="195">
        <f>H542</f>
        <v>20652</v>
      </c>
    </row>
    <row r="541" spans="1:8" s="33" customFormat="1" ht="18" customHeight="1">
      <c r="A541" s="66" t="s">
        <v>4</v>
      </c>
      <c r="B541" s="86"/>
      <c r="C541" s="85"/>
      <c r="D541" s="191"/>
      <c r="E541" s="8"/>
      <c r="F541" s="186"/>
      <c r="G541" s="186"/>
      <c r="H541" s="38"/>
    </row>
    <row r="542" spans="1:8" s="33" customFormat="1" ht="18" customHeight="1">
      <c r="A542" s="196" t="s">
        <v>129</v>
      </c>
      <c r="B542" s="86"/>
      <c r="C542" s="85"/>
      <c r="D542" s="191"/>
      <c r="E542" s="8"/>
      <c r="F542" s="186"/>
      <c r="G542" s="186"/>
      <c r="H542" s="38">
        <f>H545</f>
        <v>20652</v>
      </c>
    </row>
    <row r="543" spans="1:8" s="33" customFormat="1" ht="18" customHeight="1">
      <c r="A543" s="196" t="s">
        <v>4</v>
      </c>
      <c r="B543" s="86"/>
      <c r="C543" s="85"/>
      <c r="D543" s="191"/>
      <c r="E543" s="8"/>
      <c r="F543" s="186"/>
      <c r="G543" s="186"/>
      <c r="H543" s="38"/>
    </row>
    <row r="544" spans="1:8" s="33" customFormat="1" ht="18" customHeight="1">
      <c r="A544" s="66"/>
      <c r="B544" s="200" t="s">
        <v>133</v>
      </c>
      <c r="C544" s="85"/>
      <c r="D544" s="87"/>
      <c r="E544" s="8"/>
      <c r="F544" s="186"/>
      <c r="G544" s="186"/>
      <c r="H544" s="83"/>
    </row>
    <row r="545" spans="1:8" s="33" customFormat="1" ht="18" customHeight="1">
      <c r="A545" s="66"/>
      <c r="B545" s="201" t="s">
        <v>132</v>
      </c>
      <c r="C545" s="85"/>
      <c r="D545" s="87"/>
      <c r="E545" s="8"/>
      <c r="F545" s="186"/>
      <c r="G545" s="186"/>
      <c r="H545" s="83">
        <f>20652</f>
        <v>20652</v>
      </c>
    </row>
    <row r="546" spans="1:10" s="33" customFormat="1" ht="18" customHeight="1">
      <c r="A546" s="65"/>
      <c r="B546" s="86"/>
      <c r="C546" s="85"/>
      <c r="D546" s="87"/>
      <c r="E546" s="8"/>
      <c r="F546" s="158"/>
      <c r="G546" s="158"/>
      <c r="H546" s="83"/>
      <c r="I546" s="38"/>
      <c r="J546" s="38"/>
    </row>
    <row r="547" spans="1:8" s="33" customFormat="1" ht="18" customHeight="1">
      <c r="A547" s="82" t="s">
        <v>128</v>
      </c>
      <c r="B547" s="193"/>
      <c r="C547" s="194"/>
      <c r="D547" s="158"/>
      <c r="E547" s="158"/>
      <c r="F547" s="158"/>
      <c r="G547" s="158"/>
      <c r="H547" s="195">
        <f>H549</f>
        <v>70000</v>
      </c>
    </row>
    <row r="548" spans="1:8" s="33" customFormat="1" ht="18" customHeight="1">
      <c r="A548" s="66" t="s">
        <v>4</v>
      </c>
      <c r="B548" s="86"/>
      <c r="C548" s="85"/>
      <c r="D548" s="191"/>
      <c r="E548" s="8"/>
      <c r="F548" s="186"/>
      <c r="G548" s="186"/>
      <c r="H548" s="38"/>
    </row>
    <row r="549" spans="1:8" s="33" customFormat="1" ht="18" customHeight="1">
      <c r="A549" s="196" t="s">
        <v>130</v>
      </c>
      <c r="B549" s="86"/>
      <c r="C549" s="85"/>
      <c r="D549" s="191"/>
      <c r="E549" s="8"/>
      <c r="F549" s="186"/>
      <c r="G549" s="186"/>
      <c r="H549" s="38">
        <f>H551</f>
        <v>70000</v>
      </c>
    </row>
    <row r="550" spans="1:8" s="33" customFormat="1" ht="18" customHeight="1">
      <c r="A550" s="196" t="s">
        <v>4</v>
      </c>
      <c r="B550" s="86"/>
      <c r="C550" s="85"/>
      <c r="D550" s="191"/>
      <c r="E550" s="8"/>
      <c r="F550" s="186"/>
      <c r="G550" s="186"/>
      <c r="H550" s="38"/>
    </row>
    <row r="551" spans="1:8" s="33" customFormat="1" ht="18" customHeight="1">
      <c r="A551" s="66"/>
      <c r="B551" s="200" t="s">
        <v>131</v>
      </c>
      <c r="C551" s="85"/>
      <c r="D551" s="87"/>
      <c r="E551" s="8"/>
      <c r="F551" s="186"/>
      <c r="G551" s="186"/>
      <c r="H551" s="83">
        <f>70000</f>
        <v>70000</v>
      </c>
    </row>
    <row r="552" spans="1:8" s="33" customFormat="1" ht="18" customHeight="1">
      <c r="A552" s="66"/>
      <c r="B552" s="86"/>
      <c r="C552" s="85"/>
      <c r="D552" s="87"/>
      <c r="E552" s="8"/>
      <c r="F552" s="186"/>
      <c r="G552" s="186"/>
      <c r="H552" s="83"/>
    </row>
    <row r="553" spans="1:10" s="33" customFormat="1" ht="18" customHeight="1">
      <c r="A553" s="65"/>
      <c r="B553" s="86"/>
      <c r="C553" s="85"/>
      <c r="D553" s="87"/>
      <c r="E553" s="8"/>
      <c r="F553" s="158"/>
      <c r="G553" s="158"/>
      <c r="H553" s="83"/>
      <c r="I553" s="38"/>
      <c r="J553" s="38"/>
    </row>
    <row r="554" spans="1:10" s="44" customFormat="1" ht="18" customHeight="1">
      <c r="A554" s="73" t="s">
        <v>17</v>
      </c>
      <c r="B554" s="78"/>
      <c r="C554" s="43"/>
      <c r="D554" s="43"/>
      <c r="E554" s="43"/>
      <c r="F554" s="43"/>
      <c r="G554" s="43"/>
      <c r="H554" s="45"/>
      <c r="I554" s="45"/>
      <c r="J554" s="45"/>
    </row>
    <row r="555" spans="1:10" s="44" customFormat="1" ht="18" customHeight="1">
      <c r="A555" s="73"/>
      <c r="B555" s="78"/>
      <c r="C555" s="43"/>
      <c r="D555" s="43"/>
      <c r="E555" s="43"/>
      <c r="F555" s="43"/>
      <c r="G555" s="43"/>
      <c r="H555" s="45"/>
      <c r="I555" s="45"/>
      <c r="J555" s="45"/>
    </row>
    <row r="556" spans="1:10" s="44" customFormat="1" ht="18" customHeight="1">
      <c r="A556" s="73"/>
      <c r="B556" s="78"/>
      <c r="C556" s="43"/>
      <c r="D556" s="43"/>
      <c r="E556" s="43"/>
      <c r="F556" s="43"/>
      <c r="G556" s="43"/>
      <c r="H556" s="45"/>
      <c r="I556" s="45"/>
      <c r="J556" s="45"/>
    </row>
    <row r="557" spans="1:8" s="2" customFormat="1" ht="18" customHeight="1">
      <c r="A557" s="52" t="s">
        <v>18</v>
      </c>
      <c r="B557" s="74"/>
      <c r="C557" s="30"/>
      <c r="D557" s="3"/>
      <c r="E557" s="3"/>
      <c r="F557" s="3"/>
      <c r="G557" s="3"/>
      <c r="H557" s="15"/>
    </row>
    <row r="558" spans="1:8" s="2" customFormat="1" ht="18" customHeight="1">
      <c r="A558" s="52"/>
      <c r="B558" s="74"/>
      <c r="C558" s="30"/>
      <c r="D558" s="3"/>
      <c r="E558" s="3"/>
      <c r="F558" s="3"/>
      <c r="G558" s="3"/>
      <c r="H558" s="15"/>
    </row>
    <row r="559" spans="1:8" s="2" customFormat="1" ht="18" customHeight="1">
      <c r="A559" s="52"/>
      <c r="B559" s="74"/>
      <c r="C559" s="30"/>
      <c r="D559" s="3"/>
      <c r="E559" s="3"/>
      <c r="F559" s="3"/>
      <c r="G559" s="3"/>
      <c r="H559" s="15"/>
    </row>
    <row r="560" spans="1:8" s="2" customFormat="1" ht="18" customHeight="1">
      <c r="A560" s="74"/>
      <c r="B560" s="74"/>
      <c r="C560" s="6"/>
      <c r="D560" s="6"/>
      <c r="E560" s="6"/>
      <c r="F560" s="35" t="s">
        <v>34</v>
      </c>
      <c r="G560" s="6"/>
      <c r="H560" s="15"/>
    </row>
    <row r="561" spans="1:8" s="2" customFormat="1" ht="18" customHeight="1">
      <c r="A561" s="74"/>
      <c r="B561" s="74"/>
      <c r="C561" s="6"/>
      <c r="D561" s="6"/>
      <c r="E561" s="6"/>
      <c r="F561" s="35"/>
      <c r="G561" s="6"/>
      <c r="H561" s="32"/>
    </row>
    <row r="562" spans="1:8" s="2" customFormat="1" ht="18" customHeight="1">
      <c r="A562" s="74"/>
      <c r="B562" s="74"/>
      <c r="C562" s="6"/>
      <c r="D562" s="6"/>
      <c r="E562" s="6"/>
      <c r="F562" s="84" t="s">
        <v>35</v>
      </c>
      <c r="G562" s="6"/>
      <c r="H562" s="32"/>
    </row>
    <row r="563" spans="1:8" s="2" customFormat="1" ht="18" customHeight="1">
      <c r="A563" s="74"/>
      <c r="B563" s="74"/>
      <c r="C563" s="6"/>
      <c r="D563" s="6"/>
      <c r="E563" s="6"/>
      <c r="F563" s="6"/>
      <c r="G563" s="6"/>
      <c r="H563" s="16"/>
    </row>
    <row r="564" spans="1:8" s="2" customFormat="1" ht="19.5" customHeight="1">
      <c r="A564" s="74"/>
      <c r="B564" s="74"/>
      <c r="C564" s="6"/>
      <c r="D564" s="6"/>
      <c r="E564" s="6"/>
      <c r="F564" s="6"/>
      <c r="G564" s="6"/>
      <c r="H564" s="32"/>
    </row>
    <row r="570" spans="5:8" ht="18">
      <c r="E570" s="40"/>
      <c r="F570" s="40"/>
      <c r="G570" s="40"/>
      <c r="H570" s="93"/>
    </row>
    <row r="571" spans="5:8" ht="18">
      <c r="E571" s="40"/>
      <c r="F571" s="40"/>
      <c r="G571" s="40"/>
      <c r="H571" s="93"/>
    </row>
    <row r="572" spans="5:8" ht="18">
      <c r="E572" s="40"/>
      <c r="F572" s="40"/>
      <c r="G572" s="40"/>
      <c r="H572" s="93"/>
    </row>
    <row r="573" spans="5:8" ht="18">
      <c r="E573" s="40"/>
      <c r="F573" s="40"/>
      <c r="G573" s="40"/>
      <c r="H573" s="93"/>
    </row>
    <row r="574" spans="5:8" ht="18">
      <c r="E574" s="40"/>
      <c r="F574" s="50"/>
      <c r="G574" s="40"/>
      <c r="H574" s="93"/>
    </row>
    <row r="575" spans="5:8" ht="18">
      <c r="E575" s="40"/>
      <c r="F575" s="40"/>
      <c r="G575" s="40"/>
      <c r="H575" s="93"/>
    </row>
    <row r="576" spans="5:8" ht="18">
      <c r="E576" s="40"/>
      <c r="F576" s="40"/>
      <c r="G576" s="40"/>
      <c r="H576" s="93"/>
    </row>
    <row r="577" spans="5:8" ht="18">
      <c r="E577" s="40"/>
      <c r="F577" s="40"/>
      <c r="G577" s="40"/>
      <c r="H577" s="93"/>
    </row>
    <row r="578" spans="5:8" ht="18">
      <c r="E578" s="40"/>
      <c r="F578" s="40"/>
      <c r="G578" s="40"/>
      <c r="H578" s="93"/>
    </row>
    <row r="579" spans="5:8" ht="18">
      <c r="E579" s="40"/>
      <c r="F579" s="40"/>
      <c r="G579" s="40"/>
      <c r="H579" s="93"/>
    </row>
    <row r="580" spans="5:8" ht="18">
      <c r="E580" s="40"/>
      <c r="F580" s="40"/>
      <c r="G580" s="40"/>
      <c r="H580" s="93"/>
    </row>
    <row r="581" spans="5:8" ht="18">
      <c r="E581" s="40"/>
      <c r="F581" s="40"/>
      <c r="G581" s="40"/>
      <c r="H581" s="93"/>
    </row>
  </sheetData>
  <sheetProtection/>
  <printOptions/>
  <pageMargins left="0.31496062992125984" right="0" top="0.7480314960629921" bottom="0.7480314960629921" header="0.31496062992125984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Aneta Czajkowska</cp:lastModifiedBy>
  <cp:lastPrinted>2019-11-05T11:05:14Z</cp:lastPrinted>
  <dcterms:created xsi:type="dcterms:W3CDTF">2009-03-04T08:33:11Z</dcterms:created>
  <dcterms:modified xsi:type="dcterms:W3CDTF">2019-11-12T13:04:57Z</dcterms:modified>
  <cp:category/>
  <cp:version/>
  <cp:contentType/>
  <cp:contentStatus/>
</cp:coreProperties>
</file>